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Новий фінплан\2022\2022\"/>
    </mc:Choice>
  </mc:AlternateContent>
  <bookViews>
    <workbookView xWindow="-120" yWindow="-120" windowWidth="29040" windowHeight="15840" tabRatio="915" firstSheet="6" activeTab="13"/>
  </bookViews>
  <sheets>
    <sheet name="Аналіз" sheetId="25" r:id="rId1"/>
    <sheet name="Осн. фін. пок." sheetId="14" r:id="rId2"/>
    <sheet name="I. Фін результат" sheetId="2" r:id="rId3"/>
    <sheet name="Розшифровка фінрезультати" sheetId="21" r:id="rId4"/>
    <sheet name="ІІ. Розр. з бюджетом" sheetId="19" r:id="rId5"/>
    <sheet name="ІІІ. Рух грош. коштів" sheetId="18" r:id="rId6"/>
    <sheet name="Розшифровка до Руху" sheetId="22" r:id="rId7"/>
    <sheet name="IV. Кап. інвестиції" sheetId="3" r:id="rId8"/>
    <sheet name="Розшифровка до капівидатків" sheetId="23" r:id="rId9"/>
    <sheet name=" V. Коефіцієнти" sheetId="11" r:id="rId10"/>
    <sheet name="6.1. Інша інфо_1" sheetId="10" r:id="rId11"/>
    <sheet name="6.2. Інша інфо_2" sheetId="9" r:id="rId12"/>
    <sheet name="VII Статутн. капіт" sheetId="20" r:id="rId13"/>
    <sheet name="Розшифровка до Статутного" sheetId="2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9">' V. Коефіцієнти'!$5:$5</definedName>
    <definedName name="_xlnm.Print_Titles" localSheetId="2">'I. Фін результат'!$4:$6</definedName>
    <definedName name="_xlnm.Print_Titles" localSheetId="4">'ІІ. Розр. з бюджетом'!$4:$6</definedName>
    <definedName name="_xlnm.Print_Titles" localSheetId="5">'ІІІ. Рух грош. коштів'!$4:$6</definedName>
    <definedName name="_xlnm.Print_Titles" localSheetId="1">'Осн. фін. пок.'!$21:$23</definedName>
    <definedName name="_xlnm.Print_Titles" localSheetId="8">'Розшифровка до капівидатків'!$4:$5</definedName>
    <definedName name="_xlnm.Print_Titles" localSheetId="6">'Розшифровка до Руху'!$4:$5</definedName>
    <definedName name="_xlnm.Print_Titles" localSheetId="3">'Розшифровка фінрезультати'!$4:$5</definedName>
    <definedName name="Заголовки_для_печати_МИ">'[28]1993'!$A$1:$IV$3,'[28]1993'!$A$1:$A$65536</definedName>
    <definedName name="йуц">#REF!</definedName>
    <definedName name="йцу">#REF!</definedName>
    <definedName name="йцуйй">#REF!</definedName>
    <definedName name="йцукц">'[29]7  Інші витрати'!#REF!</definedName>
    <definedName name="і">[30]Inform!$F$2</definedName>
    <definedName name="ів">#REF!</definedName>
    <definedName name="ів___0">#REF!</definedName>
    <definedName name="ів_22">#REF!</definedName>
    <definedName name="ів_26">#REF!</definedName>
    <definedName name="іваіа">'[29]7  Інші витрати'!#REF!</definedName>
    <definedName name="іваф">#REF!</definedName>
    <definedName name="івів">'[12]МТР Газ України'!$B$1</definedName>
    <definedName name="іцу">[23]Inform!$G$2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9">' V. Коефіцієнти'!$A$1:$H$23</definedName>
    <definedName name="_xlnm.Print_Area" localSheetId="10">'6.1. Інша інфо_1'!$A$1:$O$72</definedName>
    <definedName name="_xlnm.Print_Area" localSheetId="11">'6.2. Інша інфо_2'!$A$1:$AF$75</definedName>
    <definedName name="_xlnm.Print_Area" localSheetId="2">'I. Фін результат'!$A$1:$I$99</definedName>
    <definedName name="_xlnm.Print_Area" localSheetId="7">'IV. Кап. інвестиції'!$A$1:$H$18</definedName>
    <definedName name="_xlnm.Print_Area" localSheetId="12">'VII Статутн. капіт'!$A$1:$H$17</definedName>
    <definedName name="_xlnm.Print_Area" localSheetId="4">'ІІ. Розр. з бюджетом'!$A$1:$H$49</definedName>
    <definedName name="_xlnm.Print_Area" localSheetId="5">'ІІІ. Рух грош. коштів'!$A$1:$H$72</definedName>
    <definedName name="_xlnm.Print_Area" localSheetId="1">'Осн. фін. пок.'!$A$1:$H$131</definedName>
    <definedName name="_xlnm.Print_Area" localSheetId="8">'Розшифровка до капівидатків'!$A$1:$G$43</definedName>
    <definedName name="_xlnm.Print_Area" localSheetId="6">'Розшифровка до Руху'!$A$1:$H$121</definedName>
    <definedName name="_xlnm.Print_Area" localSheetId="13">'Розшифровка до Статутного'!$A$1:$G$20</definedName>
    <definedName name="_xlnm.Print_Area" localSheetId="3">'Розшифровка фінрезультати'!$A$1:$H$104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'[29]7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52511"/>
  <fileRecoveryPr autoRecover="0"/>
</workbook>
</file>

<file path=xl/calcChain.xml><?xml version="1.0" encoding="utf-8"?>
<calcChain xmlns="http://schemas.openxmlformats.org/spreadsheetml/2006/main">
  <c r="L64" i="10" l="1"/>
  <c r="AG57" i="9" l="1"/>
  <c r="H6" i="23"/>
  <c r="AH49" i="9"/>
  <c r="AH57" i="9" s="1"/>
  <c r="AH48" i="9"/>
  <c r="AH36" i="9"/>
  <c r="N17" i="2" l="1"/>
  <c r="P19" i="2" s="1"/>
  <c r="D33" i="22" l="1"/>
  <c r="C33" i="18" s="1"/>
  <c r="C18" i="18" s="1"/>
  <c r="C21" i="18"/>
  <c r="U50" i="9"/>
  <c r="E68" i="21"/>
  <c r="E51" i="2" s="1"/>
  <c r="E48" i="2" s="1"/>
  <c r="E40" i="2"/>
  <c r="E18" i="2"/>
  <c r="E9" i="2"/>
  <c r="D113" i="22"/>
  <c r="F105" i="14" l="1"/>
  <c r="F102" i="14"/>
  <c r="F100" i="14"/>
  <c r="F96" i="14"/>
  <c r="F97" i="14"/>
  <c r="F98" i="14"/>
  <c r="F95" i="14"/>
  <c r="F93" i="14"/>
  <c r="V33" i="9" l="1"/>
  <c r="U33" i="9"/>
  <c r="Q33" i="9"/>
  <c r="R33" i="9"/>
  <c r="E113" i="25" l="1"/>
  <c r="E112" i="25"/>
  <c r="E111" i="25"/>
  <c r="C113" i="25"/>
  <c r="C112" i="25"/>
  <c r="C111" i="25"/>
  <c r="D18" i="25"/>
  <c r="D78" i="25"/>
  <c r="C78" i="25"/>
  <c r="D77" i="25"/>
  <c r="C77" i="25"/>
  <c r="E76" i="25"/>
  <c r="D76" i="25"/>
  <c r="C76" i="25"/>
  <c r="D75" i="25"/>
  <c r="C75" i="25"/>
  <c r="D74" i="25"/>
  <c r="C74" i="25"/>
  <c r="D73" i="25"/>
  <c r="C73" i="25"/>
  <c r="D72" i="25"/>
  <c r="C72" i="25"/>
  <c r="D71" i="25"/>
  <c r="C71" i="25"/>
  <c r="C47" i="25"/>
  <c r="D47" i="25"/>
  <c r="E47" i="25"/>
  <c r="H47" i="25" s="1"/>
  <c r="F47" i="25"/>
  <c r="G47" i="25" s="1"/>
  <c r="D34" i="25"/>
  <c r="D33" i="25" s="1"/>
  <c r="E34" i="25"/>
  <c r="E33" i="25" s="1"/>
  <c r="D35" i="25"/>
  <c r="E35" i="25"/>
  <c r="D36" i="25"/>
  <c r="E36" i="25"/>
  <c r="D37" i="25"/>
  <c r="E37" i="25"/>
  <c r="D38" i="25"/>
  <c r="E38" i="25"/>
  <c r="D39" i="25"/>
  <c r="E39" i="25"/>
  <c r="D40" i="25"/>
  <c r="E40" i="25"/>
  <c r="D41" i="25"/>
  <c r="E41" i="25"/>
  <c r="D42" i="25"/>
  <c r="E42" i="25"/>
  <c r="D43" i="25"/>
  <c r="E43" i="25"/>
  <c r="D44" i="25"/>
  <c r="E44" i="25"/>
  <c r="D45" i="25"/>
  <c r="E45" i="25"/>
  <c r="D46" i="25"/>
  <c r="E46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34" i="25"/>
  <c r="D32" i="25"/>
  <c r="E32" i="25"/>
  <c r="C32" i="25"/>
  <c r="E18" i="25"/>
  <c r="D19" i="25"/>
  <c r="E19" i="25"/>
  <c r="D20" i="25"/>
  <c r="E20" i="25"/>
  <c r="D21" i="25"/>
  <c r="E21" i="25"/>
  <c r="D22" i="25"/>
  <c r="E22" i="25"/>
  <c r="D23" i="25"/>
  <c r="E23" i="25"/>
  <c r="D24" i="25"/>
  <c r="E24" i="25"/>
  <c r="D25" i="25"/>
  <c r="E25" i="25"/>
  <c r="D26" i="25"/>
  <c r="E26" i="25"/>
  <c r="D27" i="25"/>
  <c r="E27" i="25"/>
  <c r="D28" i="25"/>
  <c r="E28" i="25"/>
  <c r="D29" i="25"/>
  <c r="E29" i="25"/>
  <c r="D30" i="25"/>
  <c r="E30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18" i="25"/>
  <c r="C33" i="25" l="1"/>
  <c r="E12" i="25"/>
  <c r="E13" i="25"/>
  <c r="E14" i="25"/>
  <c r="E15" i="25"/>
  <c r="E16" i="25"/>
  <c r="E11" i="25"/>
  <c r="D12" i="25"/>
  <c r="D13" i="25"/>
  <c r="D14" i="25"/>
  <c r="D15" i="25"/>
  <c r="D16" i="25"/>
  <c r="D11" i="25"/>
  <c r="D113" i="25" l="1"/>
  <c r="D112" i="25"/>
  <c r="H112" i="25" s="1"/>
  <c r="I112" i="25" s="1"/>
  <c r="F112" i="25"/>
  <c r="G112" i="25" s="1"/>
  <c r="D111" i="25"/>
  <c r="H109" i="25"/>
  <c r="I109" i="25" s="1"/>
  <c r="F109" i="25"/>
  <c r="G109" i="25" s="1"/>
  <c r="H108" i="25"/>
  <c r="I108" i="25" s="1"/>
  <c r="F108" i="25"/>
  <c r="G108" i="25" s="1"/>
  <c r="H107" i="25"/>
  <c r="I107" i="25" s="1"/>
  <c r="F107" i="25"/>
  <c r="G107" i="25" s="1"/>
  <c r="E106" i="25"/>
  <c r="D106" i="25"/>
  <c r="C106" i="25"/>
  <c r="C110" i="25" s="1"/>
  <c r="H105" i="25"/>
  <c r="I105" i="25" s="1"/>
  <c r="F105" i="25"/>
  <c r="G105" i="25" s="1"/>
  <c r="H104" i="25"/>
  <c r="I104" i="25" s="1"/>
  <c r="F104" i="25"/>
  <c r="G104" i="25" s="1"/>
  <c r="H103" i="25"/>
  <c r="I103" i="25" s="1"/>
  <c r="F103" i="25"/>
  <c r="G103" i="25" s="1"/>
  <c r="E102" i="25"/>
  <c r="D102" i="25"/>
  <c r="C102" i="25"/>
  <c r="H81" i="25"/>
  <c r="I81" i="25" s="1"/>
  <c r="F81" i="25"/>
  <c r="G81" i="25" s="1"/>
  <c r="E80" i="25"/>
  <c r="D80" i="25"/>
  <c r="C80" i="25"/>
  <c r="E79" i="25"/>
  <c r="D79" i="25"/>
  <c r="C79" i="25"/>
  <c r="F76" i="25"/>
  <c r="G76" i="25" s="1"/>
  <c r="H76" i="25"/>
  <c r="I76" i="25" s="1"/>
  <c r="F45" i="25"/>
  <c r="H44" i="25"/>
  <c r="F43" i="25"/>
  <c r="G43" i="25" s="1"/>
  <c r="F36" i="25"/>
  <c r="G36" i="25" s="1"/>
  <c r="H35" i="25"/>
  <c r="I35" i="25" s="1"/>
  <c r="F34" i="25"/>
  <c r="G34" i="25" s="1"/>
  <c r="F32" i="25"/>
  <c r="G32" i="25" s="1"/>
  <c r="D31" i="25"/>
  <c r="E31" i="25"/>
  <c r="C31" i="25"/>
  <c r="F30" i="25"/>
  <c r="G30" i="25" s="1"/>
  <c r="H30" i="25"/>
  <c r="I30" i="25" s="1"/>
  <c r="H29" i="25"/>
  <c r="I29" i="25" s="1"/>
  <c r="F28" i="25"/>
  <c r="G28" i="25" s="1"/>
  <c r="H27" i="25"/>
  <c r="F26" i="25"/>
  <c r="G26" i="25" s="1"/>
  <c r="H26" i="25"/>
  <c r="I26" i="25" s="1"/>
  <c r="H25" i="25"/>
  <c r="I25" i="25" s="1"/>
  <c r="F24" i="25"/>
  <c r="G24" i="25" s="1"/>
  <c r="H24" i="25"/>
  <c r="I24" i="25" s="1"/>
  <c r="H23" i="25"/>
  <c r="I23" i="25" s="1"/>
  <c r="F21" i="25"/>
  <c r="F20" i="25"/>
  <c r="F19" i="25"/>
  <c r="G19" i="25" s="1"/>
  <c r="H19" i="25"/>
  <c r="I19" i="25" s="1"/>
  <c r="H18" i="25"/>
  <c r="I18" i="25" s="1"/>
  <c r="C17" i="25"/>
  <c r="D17" i="25"/>
  <c r="F16" i="25"/>
  <c r="G16" i="25" s="1"/>
  <c r="H16" i="25"/>
  <c r="I16" i="25" s="1"/>
  <c r="F15" i="25"/>
  <c r="G15" i="25" s="1"/>
  <c r="H15" i="25"/>
  <c r="F14" i="25"/>
  <c r="G14" i="25" s="1"/>
  <c r="H14" i="25"/>
  <c r="I14" i="25" s="1"/>
  <c r="F13" i="25"/>
  <c r="G13" i="25" s="1"/>
  <c r="H13" i="25"/>
  <c r="I13" i="25" s="1"/>
  <c r="F12" i="25"/>
  <c r="G12" i="25" s="1"/>
  <c r="H12" i="25"/>
  <c r="I12" i="25" s="1"/>
  <c r="F11" i="25"/>
  <c r="G11" i="25" s="1"/>
  <c r="H11" i="25"/>
  <c r="I11" i="25" s="1"/>
  <c r="E10" i="25"/>
  <c r="D10" i="25"/>
  <c r="C10" i="25"/>
  <c r="F80" i="25" l="1"/>
  <c r="G80" i="25" s="1"/>
  <c r="C70" i="25"/>
  <c r="D110" i="25"/>
  <c r="H31" i="25"/>
  <c r="I31" i="25" s="1"/>
  <c r="H80" i="25"/>
  <c r="I80" i="25" s="1"/>
  <c r="E110" i="25"/>
  <c r="F110" i="25" s="1"/>
  <c r="F102" i="25"/>
  <c r="G102" i="25" s="1"/>
  <c r="F10" i="25"/>
  <c r="G10" i="25" s="1"/>
  <c r="C9" i="25"/>
  <c r="D9" i="25"/>
  <c r="H10" i="25"/>
  <c r="I10" i="25" s="1"/>
  <c r="H20" i="25"/>
  <c r="I20" i="25" s="1"/>
  <c r="H21" i="25"/>
  <c r="I21" i="25" s="1"/>
  <c r="H28" i="25"/>
  <c r="I28" i="25" s="1"/>
  <c r="H32" i="25"/>
  <c r="I32" i="25" s="1"/>
  <c r="H34" i="25"/>
  <c r="F38" i="25"/>
  <c r="F39" i="25"/>
  <c r="G39" i="25" s="1"/>
  <c r="H40" i="25"/>
  <c r="F40" i="25"/>
  <c r="G40" i="25" s="1"/>
  <c r="F41" i="25"/>
  <c r="H42" i="25"/>
  <c r="I42" i="25" s="1"/>
  <c r="F42" i="25"/>
  <c r="G42" i="25" s="1"/>
  <c r="H106" i="25"/>
  <c r="I106" i="25" s="1"/>
  <c r="F106" i="25"/>
  <c r="G106" i="25" s="1"/>
  <c r="H111" i="25"/>
  <c r="I111" i="25" s="1"/>
  <c r="F111" i="25"/>
  <c r="G111" i="25" s="1"/>
  <c r="H113" i="25"/>
  <c r="I113" i="25" s="1"/>
  <c r="F113" i="25"/>
  <c r="G113" i="25" s="1"/>
  <c r="E17" i="25"/>
  <c r="F18" i="25"/>
  <c r="G18" i="25" s="1"/>
  <c r="F23" i="25"/>
  <c r="G23" i="25" s="1"/>
  <c r="F25" i="25"/>
  <c r="G25" i="25" s="1"/>
  <c r="F27" i="25"/>
  <c r="G27" i="25" s="1"/>
  <c r="F29" i="25"/>
  <c r="G29" i="25" s="1"/>
  <c r="F31" i="25"/>
  <c r="G31" i="25" s="1"/>
  <c r="F35" i="25"/>
  <c r="G35" i="25" s="1"/>
  <c r="H36" i="25"/>
  <c r="I36" i="25" s="1"/>
  <c r="H38" i="25"/>
  <c r="I38" i="25" s="1"/>
  <c r="H39" i="25"/>
  <c r="I39" i="25" s="1"/>
  <c r="H41" i="25"/>
  <c r="I41" i="25" s="1"/>
  <c r="H43" i="25"/>
  <c r="F44" i="25"/>
  <c r="H45" i="25"/>
  <c r="H46" i="25"/>
  <c r="F46" i="25"/>
  <c r="D70" i="25"/>
  <c r="H79" i="25"/>
  <c r="I79" i="25" s="1"/>
  <c r="F79" i="25"/>
  <c r="G79" i="25" s="1"/>
  <c r="H102" i="25"/>
  <c r="I102" i="25" s="1"/>
  <c r="H17" i="25" l="1"/>
  <c r="I17" i="25" s="1"/>
  <c r="F17" i="25"/>
  <c r="G17" i="25" s="1"/>
  <c r="E9" i="25"/>
  <c r="I34" i="25"/>
  <c r="H33" i="25"/>
  <c r="I33" i="25" s="1"/>
  <c r="F33" i="25"/>
  <c r="G33" i="25" s="1"/>
  <c r="H110" i="25"/>
  <c r="I110" i="25" s="1"/>
  <c r="G110" i="25"/>
  <c r="H9" i="25" l="1"/>
  <c r="I9" i="25" s="1"/>
  <c r="F9" i="25"/>
  <c r="G9" i="25" s="1"/>
  <c r="I18" i="10" l="1"/>
  <c r="AD47" i="9"/>
  <c r="AE47" i="9" s="1"/>
  <c r="AF47" i="9"/>
  <c r="AD34" i="9"/>
  <c r="AE34" i="9" s="1"/>
  <c r="AF34" i="9"/>
  <c r="AD35" i="9"/>
  <c r="AE35" i="9" s="1"/>
  <c r="AF35" i="9"/>
  <c r="AD37" i="9"/>
  <c r="AE37" i="9" s="1"/>
  <c r="AF37" i="9"/>
  <c r="AD38" i="9"/>
  <c r="AE38" i="9" s="1"/>
  <c r="AF38" i="9"/>
  <c r="AD39" i="9"/>
  <c r="AE39" i="9" s="1"/>
  <c r="AF39" i="9"/>
  <c r="AD40" i="9"/>
  <c r="AE40" i="9" s="1"/>
  <c r="AF40" i="9"/>
  <c r="AD41" i="9"/>
  <c r="AE41" i="9" s="1"/>
  <c r="AF41" i="9"/>
  <c r="J35" i="10"/>
  <c r="J36" i="10"/>
  <c r="J37" i="10"/>
  <c r="J38" i="10"/>
  <c r="J39" i="10"/>
  <c r="J34" i="10"/>
  <c r="J40" i="10" s="1"/>
  <c r="M34" i="10"/>
  <c r="N70" i="10"/>
  <c r="N67" i="10"/>
  <c r="N66" i="10"/>
  <c r="N64" i="10" s="1"/>
  <c r="N63" i="10"/>
  <c r="H64" i="10"/>
  <c r="J64" i="10"/>
  <c r="F10" i="3" l="1"/>
  <c r="F27" i="23"/>
  <c r="F28" i="23"/>
  <c r="F29" i="23"/>
  <c r="G29" i="23"/>
  <c r="F30" i="23"/>
  <c r="F31" i="23"/>
  <c r="H9" i="18"/>
  <c r="F61" i="18"/>
  <c r="F62" i="18"/>
  <c r="F60" i="18"/>
  <c r="F56" i="18"/>
  <c r="F47" i="18"/>
  <c r="F20" i="18"/>
  <c r="F22" i="18"/>
  <c r="F23" i="18"/>
  <c r="F24" i="18"/>
  <c r="F25" i="18"/>
  <c r="F26" i="18"/>
  <c r="F27" i="18"/>
  <c r="F28" i="18"/>
  <c r="F29" i="18"/>
  <c r="F30" i="18"/>
  <c r="F32" i="18"/>
  <c r="F19" i="18"/>
  <c r="F15" i="18"/>
  <c r="F16" i="18"/>
  <c r="F14" i="18"/>
  <c r="F9" i="18"/>
  <c r="G9" i="18" s="1"/>
  <c r="F10" i="24"/>
  <c r="F11" i="24"/>
  <c r="F12" i="24"/>
  <c r="G12" i="24"/>
  <c r="F13" i="24"/>
  <c r="F14" i="24"/>
  <c r="G14" i="24"/>
  <c r="F16" i="24"/>
  <c r="G16" i="24"/>
  <c r="F17" i="24"/>
  <c r="G17" i="24"/>
  <c r="D74" i="22" l="1"/>
  <c r="G115" i="22"/>
  <c r="H115" i="22"/>
  <c r="G116" i="22"/>
  <c r="H116" i="22"/>
  <c r="G118" i="22"/>
  <c r="H118" i="22"/>
  <c r="G119" i="22"/>
  <c r="H119" i="22"/>
  <c r="G112" i="22"/>
  <c r="H111" i="22"/>
  <c r="G111" i="22"/>
  <c r="G102" i="22"/>
  <c r="H102" i="22"/>
  <c r="G103" i="22"/>
  <c r="H103" i="22"/>
  <c r="G104" i="22"/>
  <c r="H104" i="22"/>
  <c r="G105" i="22"/>
  <c r="H105" i="22"/>
  <c r="G106" i="22"/>
  <c r="H106" i="22"/>
  <c r="G107" i="22"/>
  <c r="H107" i="22"/>
  <c r="G108" i="22"/>
  <c r="G109" i="22"/>
  <c r="G97" i="22"/>
  <c r="G98" i="22"/>
  <c r="G99" i="22"/>
  <c r="H99" i="22"/>
  <c r="G100" i="22"/>
  <c r="H100" i="22"/>
  <c r="G96" i="22"/>
  <c r="H94" i="22"/>
  <c r="G94" i="22"/>
  <c r="G81" i="22"/>
  <c r="G82" i="22"/>
  <c r="G83" i="22"/>
  <c r="G84" i="22"/>
  <c r="G85" i="22"/>
  <c r="G86" i="22"/>
  <c r="H86" i="22"/>
  <c r="G87" i="22"/>
  <c r="G88" i="22"/>
  <c r="G89" i="22"/>
  <c r="G90" i="22"/>
  <c r="G91" i="22"/>
  <c r="H91" i="22"/>
  <c r="G92" i="22"/>
  <c r="G80" i="22"/>
  <c r="G35" i="22"/>
  <c r="H35" i="22"/>
  <c r="G36" i="22"/>
  <c r="H36" i="22"/>
  <c r="G37" i="22"/>
  <c r="H37" i="22"/>
  <c r="G38" i="22"/>
  <c r="H38" i="22"/>
  <c r="G39" i="22"/>
  <c r="H39" i="22"/>
  <c r="G40" i="22"/>
  <c r="H40" i="22"/>
  <c r="G41" i="22"/>
  <c r="H41" i="22"/>
  <c r="G42" i="22"/>
  <c r="H42" i="22"/>
  <c r="G43" i="22"/>
  <c r="H43" i="22"/>
  <c r="G44" i="22"/>
  <c r="H44" i="22"/>
  <c r="G45" i="22"/>
  <c r="H45" i="22"/>
  <c r="G46" i="22"/>
  <c r="H46" i="22"/>
  <c r="G47" i="22"/>
  <c r="H47" i="22"/>
  <c r="G48" i="22"/>
  <c r="H48" i="22"/>
  <c r="G49" i="22"/>
  <c r="G50" i="22"/>
  <c r="H50" i="22"/>
  <c r="G51" i="22"/>
  <c r="H51" i="22"/>
  <c r="G52" i="22"/>
  <c r="H52" i="22"/>
  <c r="G53" i="22"/>
  <c r="H53" i="22"/>
  <c r="G54" i="22"/>
  <c r="H54" i="22"/>
  <c r="G55" i="22"/>
  <c r="G56" i="22"/>
  <c r="G57" i="22"/>
  <c r="H57" i="22"/>
  <c r="G58" i="22"/>
  <c r="H58" i="22"/>
  <c r="G59" i="22"/>
  <c r="H59" i="22"/>
  <c r="G60" i="22"/>
  <c r="H60" i="22"/>
  <c r="G61" i="22"/>
  <c r="H61" i="22"/>
  <c r="G62" i="22"/>
  <c r="H62" i="22"/>
  <c r="G63" i="22"/>
  <c r="H63" i="22"/>
  <c r="G64" i="22"/>
  <c r="H64" i="22"/>
  <c r="G65" i="22"/>
  <c r="H65" i="22"/>
  <c r="G66" i="22"/>
  <c r="H66" i="22"/>
  <c r="G67" i="22"/>
  <c r="H67" i="22"/>
  <c r="G68" i="22"/>
  <c r="H68" i="22"/>
  <c r="G69" i="22"/>
  <c r="H69" i="22"/>
  <c r="G70" i="22"/>
  <c r="G71" i="22"/>
  <c r="H71" i="22"/>
  <c r="G72" i="22"/>
  <c r="G73" i="22"/>
  <c r="H34" i="22"/>
  <c r="G34" i="22"/>
  <c r="G31" i="22"/>
  <c r="H31" i="22"/>
  <c r="G32" i="22"/>
  <c r="H30" i="22"/>
  <c r="G30" i="22"/>
  <c r="G26" i="22"/>
  <c r="H26" i="22"/>
  <c r="G27" i="22"/>
  <c r="G28" i="22"/>
  <c r="H25" i="22"/>
  <c r="G25" i="22"/>
  <c r="G10" i="22"/>
  <c r="G11" i="22"/>
  <c r="H11" i="22"/>
  <c r="G12" i="22"/>
  <c r="H12" i="22"/>
  <c r="G13" i="22"/>
  <c r="G14" i="22"/>
  <c r="H14" i="22"/>
  <c r="G15" i="22"/>
  <c r="H15" i="22"/>
  <c r="G16" i="22"/>
  <c r="H16" i="22"/>
  <c r="G17" i="22"/>
  <c r="H17" i="22"/>
  <c r="G18" i="22"/>
  <c r="G19" i="22"/>
  <c r="H19" i="22"/>
  <c r="G20" i="22"/>
  <c r="H20" i="22"/>
  <c r="G21" i="22"/>
  <c r="H21" i="22"/>
  <c r="G22" i="22"/>
  <c r="G23" i="22"/>
  <c r="G9" i="22"/>
  <c r="D38" i="19"/>
  <c r="E74" i="25" s="1"/>
  <c r="D30" i="19"/>
  <c r="D31" i="19"/>
  <c r="E75" i="25" s="1"/>
  <c r="D32" i="19"/>
  <c r="E78" i="25" s="1"/>
  <c r="D33" i="19"/>
  <c r="D34" i="19"/>
  <c r="D35" i="19"/>
  <c r="E77" i="25" s="1"/>
  <c r="D29" i="19"/>
  <c r="E72" i="25" s="1"/>
  <c r="D21" i="19"/>
  <c r="D22" i="19"/>
  <c r="D23" i="19"/>
  <c r="D24" i="19"/>
  <c r="D25" i="19"/>
  <c r="E73" i="25" s="1"/>
  <c r="D26" i="19"/>
  <c r="D20" i="19"/>
  <c r="E71" i="25" s="1"/>
  <c r="D16" i="19"/>
  <c r="D8" i="19"/>
  <c r="H71" i="25" l="1"/>
  <c r="I71" i="25" s="1"/>
  <c r="E70" i="25"/>
  <c r="F71" i="25"/>
  <c r="G71" i="25" s="1"/>
  <c r="F72" i="25"/>
  <c r="G72" i="25" s="1"/>
  <c r="H72" i="25"/>
  <c r="I72" i="25" s="1"/>
  <c r="H77" i="25"/>
  <c r="I77" i="25" s="1"/>
  <c r="F77" i="25"/>
  <c r="G77" i="25" s="1"/>
  <c r="F78" i="25"/>
  <c r="H78" i="25"/>
  <c r="H73" i="25"/>
  <c r="I73" i="25" s="1"/>
  <c r="F73" i="25"/>
  <c r="G73" i="25" s="1"/>
  <c r="H75" i="25"/>
  <c r="I75" i="25" s="1"/>
  <c r="F75" i="25"/>
  <c r="G75" i="25" s="1"/>
  <c r="F74" i="25"/>
  <c r="G74" i="25" s="1"/>
  <c r="H74" i="25"/>
  <c r="I74" i="25" s="1"/>
  <c r="F91" i="2"/>
  <c r="F92" i="2"/>
  <c r="F93" i="2"/>
  <c r="F94" i="2"/>
  <c r="F90" i="2"/>
  <c r="F83" i="2"/>
  <c r="F44" i="2"/>
  <c r="F45" i="2"/>
  <c r="F46" i="2"/>
  <c r="F43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20" i="2"/>
  <c r="F11" i="2"/>
  <c r="F12" i="2"/>
  <c r="F13" i="2"/>
  <c r="F14" i="2"/>
  <c r="F15" i="2"/>
  <c r="F16" i="2"/>
  <c r="F10" i="2"/>
  <c r="F8" i="2"/>
  <c r="F70" i="25" l="1"/>
  <c r="G70" i="25" s="1"/>
  <c r="H70" i="25"/>
  <c r="I70" i="25" s="1"/>
  <c r="Z57" i="9" l="1"/>
  <c r="Y57" i="9"/>
  <c r="R46" i="9"/>
  <c r="Q46" i="9"/>
  <c r="R50" i="9"/>
  <c r="S50" i="9" s="1"/>
  <c r="Q50" i="9"/>
  <c r="R44" i="9"/>
  <c r="AD44" i="9" s="1"/>
  <c r="Q44" i="9"/>
  <c r="V44" i="9"/>
  <c r="Q57" i="9"/>
  <c r="V46" i="9"/>
  <c r="V50" i="9"/>
  <c r="U44" i="9"/>
  <c r="X44" i="9" s="1"/>
  <c r="U46" i="9"/>
  <c r="X46" i="9" s="1"/>
  <c r="AC50" i="9"/>
  <c r="AA32" i="9"/>
  <c r="AB32" i="9"/>
  <c r="AC32" i="9"/>
  <c r="AF32" i="9" s="1"/>
  <c r="AD32" i="9"/>
  <c r="AA33" i="9"/>
  <c r="AB33" i="9"/>
  <c r="AA36" i="9"/>
  <c r="AB36" i="9"/>
  <c r="AC36" i="9"/>
  <c r="AD36" i="9"/>
  <c r="AA42" i="9"/>
  <c r="AB42" i="9"/>
  <c r="AC42" i="9"/>
  <c r="AD42" i="9"/>
  <c r="AA44" i="9"/>
  <c r="AB44" i="9"/>
  <c r="AA45" i="9"/>
  <c r="AB45" i="9"/>
  <c r="AC45" i="9"/>
  <c r="AD45" i="9"/>
  <c r="AA46" i="9"/>
  <c r="AB46" i="9"/>
  <c r="AA48" i="9"/>
  <c r="AB48" i="9"/>
  <c r="AC48" i="9"/>
  <c r="AD48" i="9"/>
  <c r="AA49" i="9"/>
  <c r="AB49" i="9"/>
  <c r="AC49" i="9"/>
  <c r="AD49" i="9"/>
  <c r="AA50" i="9"/>
  <c r="AB50" i="9"/>
  <c r="AA51" i="9"/>
  <c r="AB51" i="9"/>
  <c r="AD51" i="9"/>
  <c r="AA52" i="9"/>
  <c r="AB52" i="9"/>
  <c r="AD52" i="9"/>
  <c r="W32" i="9"/>
  <c r="X32" i="9"/>
  <c r="W36" i="9"/>
  <c r="X36" i="9"/>
  <c r="W42" i="9"/>
  <c r="X42" i="9"/>
  <c r="W45" i="9"/>
  <c r="X45" i="9"/>
  <c r="W48" i="9"/>
  <c r="X48" i="9"/>
  <c r="W49" i="9"/>
  <c r="X49" i="9"/>
  <c r="S32" i="9"/>
  <c r="T32" i="9"/>
  <c r="S36" i="9"/>
  <c r="T36" i="9"/>
  <c r="S42" i="9"/>
  <c r="T42" i="9"/>
  <c r="S44" i="9"/>
  <c r="T44" i="9"/>
  <c r="S45" i="9"/>
  <c r="T45" i="9"/>
  <c r="S48" i="9"/>
  <c r="T48" i="9"/>
  <c r="S49" i="9"/>
  <c r="T49" i="9"/>
  <c r="T50" i="9"/>
  <c r="S51" i="9"/>
  <c r="T51" i="9"/>
  <c r="S52" i="9"/>
  <c r="T52" i="9"/>
  <c r="O32" i="9"/>
  <c r="P32" i="9"/>
  <c r="O33" i="9"/>
  <c r="P33" i="9"/>
  <c r="O36" i="9"/>
  <c r="P36" i="9"/>
  <c r="O42" i="9"/>
  <c r="P42" i="9"/>
  <c r="O44" i="9"/>
  <c r="P44" i="9"/>
  <c r="O45" i="9"/>
  <c r="P45" i="9"/>
  <c r="O46" i="9"/>
  <c r="P46" i="9"/>
  <c r="O48" i="9"/>
  <c r="P48" i="9"/>
  <c r="O49" i="9"/>
  <c r="P49" i="9"/>
  <c r="O50" i="9"/>
  <c r="P50" i="9"/>
  <c r="O51" i="9"/>
  <c r="P51" i="9"/>
  <c r="O52" i="9"/>
  <c r="P52" i="9"/>
  <c r="K53" i="10"/>
  <c r="AC44" i="9" l="1"/>
  <c r="AF44" i="9" s="1"/>
  <c r="X50" i="9"/>
  <c r="V57" i="9"/>
  <c r="AD50" i="9"/>
  <c r="AD46" i="9"/>
  <c r="R57" i="9"/>
  <c r="W44" i="9"/>
  <c r="U57" i="9"/>
  <c r="T46" i="9"/>
  <c r="S57" i="9"/>
  <c r="S46" i="9"/>
  <c r="AF42" i="9"/>
  <c r="AF49" i="9"/>
  <c r="X33" i="9"/>
  <c r="AF50" i="9"/>
  <c r="AF45" i="9"/>
  <c r="AF48" i="9"/>
  <c r="AF36" i="9"/>
  <c r="AE32" i="9"/>
  <c r="AC46" i="9"/>
  <c r="AF46" i="9" s="1"/>
  <c r="S33" i="9"/>
  <c r="AD33" i="9"/>
  <c r="AD57" i="9" s="1"/>
  <c r="T33" i="9"/>
  <c r="AC33" i="9"/>
  <c r="W33" i="9"/>
  <c r="W46" i="9"/>
  <c r="W50" i="9"/>
  <c r="AE50" i="9"/>
  <c r="AE45" i="9"/>
  <c r="AE42" i="9"/>
  <c r="AE49" i="9"/>
  <c r="AE48" i="9"/>
  <c r="AE36" i="9"/>
  <c r="N62" i="10"/>
  <c r="AE44" i="9" l="1"/>
  <c r="AE33" i="9"/>
  <c r="AC57" i="9"/>
  <c r="AE46" i="9"/>
  <c r="AF33" i="9"/>
  <c r="L68" i="10"/>
  <c r="M39" i="10"/>
  <c r="G40" i="10"/>
  <c r="M40" i="10" s="1"/>
  <c r="D40" i="10"/>
  <c r="F18" i="10"/>
  <c r="F40" i="23"/>
  <c r="F39" i="23"/>
  <c r="E45" i="18"/>
  <c r="D45" i="18"/>
  <c r="F45" i="18" s="1"/>
  <c r="C45" i="18"/>
  <c r="C40" i="18"/>
  <c r="F117" i="22"/>
  <c r="F114" i="22"/>
  <c r="E113" i="22"/>
  <c r="F95" i="22"/>
  <c r="D95" i="22"/>
  <c r="C49" i="18" s="1"/>
  <c r="E95" i="22"/>
  <c r="G95" i="22" l="1"/>
  <c r="H95" i="22"/>
  <c r="H117" i="22"/>
  <c r="G117" i="22"/>
  <c r="G114" i="22"/>
  <c r="H114" i="22"/>
  <c r="F113" i="22"/>
  <c r="G35" i="2"/>
  <c r="E54" i="21"/>
  <c r="G113" i="22" l="1"/>
  <c r="H113" i="22"/>
  <c r="U12" i="9"/>
  <c r="X12" i="9"/>
  <c r="R12" i="9"/>
  <c r="E8" i="3" l="1"/>
  <c r="D8" i="3"/>
  <c r="D25" i="23"/>
  <c r="E12" i="3" s="1"/>
  <c r="E25" i="23"/>
  <c r="D12" i="3" s="1"/>
  <c r="F12" i="3" s="1"/>
  <c r="C25" i="23"/>
  <c r="C12" i="3" s="1"/>
  <c r="C7" i="23"/>
  <c r="C8" i="3" s="1"/>
  <c r="D63" i="18"/>
  <c r="F63" i="18" s="1"/>
  <c r="D49" i="18"/>
  <c r="F49" i="18" s="1"/>
  <c r="E63" i="18" l="1"/>
  <c r="C63" i="18"/>
  <c r="D24" i="22"/>
  <c r="C17" i="18" s="1"/>
  <c r="C19" i="19"/>
  <c r="G13" i="2" l="1"/>
  <c r="G110" i="22" l="1"/>
  <c r="H110" i="22"/>
  <c r="F110" i="22"/>
  <c r="D57" i="18" s="1"/>
  <c r="F57" i="18" s="1"/>
  <c r="E110" i="22"/>
  <c r="E57" i="18" s="1"/>
  <c r="D110" i="22"/>
  <c r="C57" i="18" s="1"/>
  <c r="G101" i="22"/>
  <c r="F101" i="22"/>
  <c r="D50" i="18" s="1"/>
  <c r="F50" i="18" s="1"/>
  <c r="E101" i="22"/>
  <c r="E50" i="18" s="1"/>
  <c r="D101" i="22"/>
  <c r="C50" i="18" s="1"/>
  <c r="E49" i="18"/>
  <c r="G93" i="22"/>
  <c r="H93" i="22"/>
  <c r="F93" i="22"/>
  <c r="D48" i="18" s="1"/>
  <c r="F48" i="18" s="1"/>
  <c r="E93" i="22"/>
  <c r="E48" i="18" s="1"/>
  <c r="D93" i="22"/>
  <c r="C48" i="18" s="1"/>
  <c r="F79" i="22"/>
  <c r="E79" i="22"/>
  <c r="E46" i="18" s="1"/>
  <c r="D79" i="22"/>
  <c r="C46" i="18" s="1"/>
  <c r="G77" i="22"/>
  <c r="G76" i="22"/>
  <c r="G75" i="22"/>
  <c r="F33" i="22"/>
  <c r="E33" i="22"/>
  <c r="E33" i="18" s="1"/>
  <c r="F29" i="22"/>
  <c r="E29" i="22"/>
  <c r="E31" i="18" s="1"/>
  <c r="E21" i="18" s="1"/>
  <c r="D29" i="22"/>
  <c r="F24" i="22"/>
  <c r="E24" i="22"/>
  <c r="E17" i="18" s="1"/>
  <c r="F8" i="22"/>
  <c r="E8" i="22"/>
  <c r="D8" i="22"/>
  <c r="C44" i="18" l="1"/>
  <c r="D31" i="18"/>
  <c r="F31" i="18" s="1"/>
  <c r="H29" i="22"/>
  <c r="G29" i="22"/>
  <c r="H8" i="22"/>
  <c r="G8" i="22"/>
  <c r="D17" i="18"/>
  <c r="F17" i="18" s="1"/>
  <c r="H24" i="22"/>
  <c r="G24" i="22"/>
  <c r="D33" i="18"/>
  <c r="F33" i="18" s="1"/>
  <c r="H33" i="22"/>
  <c r="G33" i="22"/>
  <c r="D46" i="18"/>
  <c r="F46" i="18" s="1"/>
  <c r="G79" i="22"/>
  <c r="H79" i="22"/>
  <c r="E15" i="24"/>
  <c r="D12" i="20" s="1"/>
  <c r="F12" i="20" s="1"/>
  <c r="D15" i="24"/>
  <c r="E12" i="20" s="1"/>
  <c r="C15" i="24"/>
  <c r="G9" i="24"/>
  <c r="F9" i="24"/>
  <c r="F8" i="24"/>
  <c r="E7" i="24"/>
  <c r="D7" i="24"/>
  <c r="D6" i="24" s="1"/>
  <c r="C7" i="24"/>
  <c r="G40" i="23"/>
  <c r="G39" i="23"/>
  <c r="G38" i="23"/>
  <c r="F38" i="23"/>
  <c r="G37" i="23"/>
  <c r="F37" i="23"/>
  <c r="F36" i="23"/>
  <c r="G35" i="23"/>
  <c r="F35" i="23"/>
  <c r="E34" i="23"/>
  <c r="D13" i="3" s="1"/>
  <c r="F13" i="3" s="1"/>
  <c r="D34" i="23"/>
  <c r="E13" i="3" s="1"/>
  <c r="C34" i="23"/>
  <c r="C13" i="3" s="1"/>
  <c r="G33" i="23"/>
  <c r="F33" i="23"/>
  <c r="E32" i="23"/>
  <c r="D11" i="3" s="1"/>
  <c r="F11" i="3" s="1"/>
  <c r="D32" i="23"/>
  <c r="C32" i="23"/>
  <c r="C11" i="3" s="1"/>
  <c r="G26" i="23"/>
  <c r="F26" i="23"/>
  <c r="G25" i="23"/>
  <c r="F24" i="23"/>
  <c r="F21" i="23"/>
  <c r="F19" i="23"/>
  <c r="F17" i="23"/>
  <c r="F20" i="23"/>
  <c r="F18" i="23"/>
  <c r="F16" i="23"/>
  <c r="F15" i="23"/>
  <c r="F14" i="23"/>
  <c r="F12" i="23"/>
  <c r="F11" i="23"/>
  <c r="F10" i="23"/>
  <c r="E9" i="23"/>
  <c r="D9" i="23"/>
  <c r="E9" i="3" s="1"/>
  <c r="C9" i="23"/>
  <c r="C9" i="3" s="1"/>
  <c r="F7" i="23"/>
  <c r="G101" i="21"/>
  <c r="G100" i="21"/>
  <c r="G99" i="21"/>
  <c r="G98" i="21"/>
  <c r="H96" i="21"/>
  <c r="G96" i="21"/>
  <c r="H95" i="21"/>
  <c r="G95" i="21"/>
  <c r="G94" i="21"/>
  <c r="H93" i="21"/>
  <c r="G93" i="21"/>
  <c r="H92" i="21"/>
  <c r="G92" i="21"/>
  <c r="G90" i="21"/>
  <c r="H89" i="21"/>
  <c r="G89" i="21"/>
  <c r="H88" i="21"/>
  <c r="G88" i="21"/>
  <c r="F87" i="21"/>
  <c r="D66" i="2" s="1"/>
  <c r="F66" i="2" s="1"/>
  <c r="E87" i="21"/>
  <c r="D87" i="21"/>
  <c r="C66" i="2" s="1"/>
  <c r="H86" i="21"/>
  <c r="G86" i="21"/>
  <c r="F85" i="21"/>
  <c r="D62" i="2" s="1"/>
  <c r="F62" i="2" s="1"/>
  <c r="E85" i="21"/>
  <c r="E62" i="2" s="1"/>
  <c r="D85" i="21"/>
  <c r="C62" i="2" s="1"/>
  <c r="G84" i="21"/>
  <c r="G83" i="21"/>
  <c r="G82" i="21"/>
  <c r="H81" i="21"/>
  <c r="G81" i="21"/>
  <c r="H80" i="21"/>
  <c r="G80" i="21"/>
  <c r="H79" i="21"/>
  <c r="G79" i="21"/>
  <c r="G78" i="21"/>
  <c r="H77" i="21"/>
  <c r="G77" i="21"/>
  <c r="H76" i="21"/>
  <c r="G76" i="21"/>
  <c r="H75" i="21"/>
  <c r="G75" i="21"/>
  <c r="H74" i="21"/>
  <c r="G74" i="21"/>
  <c r="H72" i="21"/>
  <c r="G72" i="21"/>
  <c r="H71" i="21"/>
  <c r="G71" i="21"/>
  <c r="H70" i="21"/>
  <c r="G70" i="21"/>
  <c r="H69" i="21"/>
  <c r="G69" i="21"/>
  <c r="F68" i="21"/>
  <c r="D51" i="2" s="1"/>
  <c r="F51" i="2" s="1"/>
  <c r="D68" i="21"/>
  <c r="C51" i="2" s="1"/>
  <c r="G65" i="21"/>
  <c r="G64" i="21"/>
  <c r="H63" i="21"/>
  <c r="G63" i="21"/>
  <c r="H62" i="21"/>
  <c r="G62" i="21"/>
  <c r="F61" i="21"/>
  <c r="D69" i="2" s="1"/>
  <c r="F69" i="2" s="1"/>
  <c r="E61" i="21"/>
  <c r="E69" i="2" s="1"/>
  <c r="D61" i="21"/>
  <c r="C69" i="2" s="1"/>
  <c r="H60" i="21"/>
  <c r="G60" i="21"/>
  <c r="H59" i="21"/>
  <c r="G59" i="21"/>
  <c r="G58" i="21"/>
  <c r="H57" i="21"/>
  <c r="G57" i="21"/>
  <c r="H56" i="21"/>
  <c r="G56" i="21"/>
  <c r="G55" i="21"/>
  <c r="F54" i="21"/>
  <c r="D63" i="2" s="1"/>
  <c r="E63" i="2"/>
  <c r="D59" i="25" s="1"/>
  <c r="D54" i="21"/>
  <c r="C63" i="2" s="1"/>
  <c r="C59" i="25" s="1"/>
  <c r="G52" i="21"/>
  <c r="H51" i="21"/>
  <c r="G51" i="21"/>
  <c r="H50" i="21"/>
  <c r="G50" i="21"/>
  <c r="H49" i="21"/>
  <c r="G49" i="21"/>
  <c r="H48" i="21"/>
  <c r="G48" i="21"/>
  <c r="H47" i="21"/>
  <c r="G47" i="21"/>
  <c r="H46" i="21"/>
  <c r="G46" i="21"/>
  <c r="H45" i="21"/>
  <c r="G45" i="21"/>
  <c r="G44" i="21"/>
  <c r="H43" i="21"/>
  <c r="G43" i="21"/>
  <c r="F42" i="21"/>
  <c r="D58" i="2" s="1"/>
  <c r="F58" i="2" s="1"/>
  <c r="E42" i="21"/>
  <c r="E58" i="2" s="1"/>
  <c r="D42" i="21"/>
  <c r="C58" i="2" s="1"/>
  <c r="G41" i="21"/>
  <c r="G40" i="21"/>
  <c r="G39" i="21"/>
  <c r="H38" i="21"/>
  <c r="G38" i="21"/>
  <c r="G37" i="21"/>
  <c r="F36" i="21"/>
  <c r="D47" i="2" s="1"/>
  <c r="F47" i="2" s="1"/>
  <c r="E36" i="21"/>
  <c r="D36" i="21"/>
  <c r="C47" i="2" s="1"/>
  <c r="H35" i="21"/>
  <c r="G35" i="21"/>
  <c r="H34" i="21"/>
  <c r="G34" i="21"/>
  <c r="G33" i="21"/>
  <c r="H32" i="21"/>
  <c r="G32" i="21"/>
  <c r="H31" i="21"/>
  <c r="G31" i="21"/>
  <c r="G30" i="21"/>
  <c r="G29" i="21"/>
  <c r="H28" i="21"/>
  <c r="G28" i="21"/>
  <c r="F27" i="21"/>
  <c r="D39" i="2" s="1"/>
  <c r="D19" i="2" s="1"/>
  <c r="E56" i="25" s="1"/>
  <c r="E27" i="21"/>
  <c r="D27" i="21"/>
  <c r="C39" i="2" s="1"/>
  <c r="H26" i="21"/>
  <c r="G26" i="21"/>
  <c r="H25" i="21"/>
  <c r="G25" i="21"/>
  <c r="H23" i="21"/>
  <c r="G23" i="21"/>
  <c r="G20" i="21"/>
  <c r="H19" i="21"/>
  <c r="G19" i="21"/>
  <c r="H18" i="21"/>
  <c r="G18" i="21"/>
  <c r="H17" i="21"/>
  <c r="G17" i="21"/>
  <c r="H16" i="21"/>
  <c r="G16" i="21"/>
  <c r="H15" i="21"/>
  <c r="G15" i="21"/>
  <c r="G14" i="21"/>
  <c r="H13" i="21"/>
  <c r="G13" i="21"/>
  <c r="H12" i="21"/>
  <c r="G12" i="21"/>
  <c r="H11" i="21"/>
  <c r="G11" i="21"/>
  <c r="H10" i="21"/>
  <c r="G10" i="21"/>
  <c r="H9" i="21"/>
  <c r="G9" i="21"/>
  <c r="H8" i="21"/>
  <c r="G8" i="21"/>
  <c r="F7" i="21"/>
  <c r="D17" i="2" s="1"/>
  <c r="F17" i="2" s="1"/>
  <c r="E7" i="21"/>
  <c r="E17" i="2" s="1"/>
  <c r="D7" i="21"/>
  <c r="C17" i="2" s="1"/>
  <c r="F63" i="2" l="1"/>
  <c r="E59" i="25"/>
  <c r="H59" i="25" s="1"/>
  <c r="I59" i="25" s="1"/>
  <c r="E6" i="23"/>
  <c r="G15" i="24"/>
  <c r="F15" i="24"/>
  <c r="C6" i="24"/>
  <c r="E6" i="24"/>
  <c r="F39" i="2"/>
  <c r="F32" i="23"/>
  <c r="E11" i="3"/>
  <c r="F9" i="23"/>
  <c r="D9" i="3"/>
  <c r="F9" i="3" s="1"/>
  <c r="G87" i="21"/>
  <c r="E66" i="2"/>
  <c r="G42" i="21"/>
  <c r="G36" i="21"/>
  <c r="E47" i="2"/>
  <c r="G27" i="21"/>
  <c r="E39" i="2"/>
  <c r="G7" i="21"/>
  <c r="C6" i="23"/>
  <c r="H54" i="21"/>
  <c r="H68" i="21"/>
  <c r="G7" i="24"/>
  <c r="F34" i="23"/>
  <c r="D6" i="23"/>
  <c r="G6" i="23" s="1"/>
  <c r="G32" i="23"/>
  <c r="H87" i="21"/>
  <c r="G85" i="21"/>
  <c r="G68" i="21"/>
  <c r="G61" i="21"/>
  <c r="G54" i="21"/>
  <c r="H36" i="21"/>
  <c r="H27" i="21"/>
  <c r="F7" i="24"/>
  <c r="G9" i="23"/>
  <c r="F25" i="23"/>
  <c r="H7" i="21"/>
  <c r="H42" i="21"/>
  <c r="H61" i="21"/>
  <c r="H85" i="21"/>
  <c r="F59" i="25" l="1"/>
  <c r="G59" i="25" s="1"/>
  <c r="F6" i="23"/>
  <c r="F6" i="24"/>
  <c r="E55" i="18"/>
  <c r="G6" i="24"/>
  <c r="N71" i="10"/>
  <c r="N68" i="10" s="1"/>
  <c r="D83" i="14"/>
  <c r="D82" i="14"/>
  <c r="N57" i="9"/>
  <c r="M57" i="9"/>
  <c r="P57" i="9" s="1"/>
  <c r="AB56" i="9"/>
  <c r="AA56" i="9"/>
  <c r="AB55" i="9"/>
  <c r="AA55" i="9"/>
  <c r="AB54" i="9"/>
  <c r="AA54" i="9"/>
  <c r="AB53" i="9"/>
  <c r="AA53" i="9"/>
  <c r="T56" i="9"/>
  <c r="S56" i="9"/>
  <c r="T55" i="9"/>
  <c r="S55" i="9"/>
  <c r="T54" i="9"/>
  <c r="S54" i="9"/>
  <c r="T53" i="9"/>
  <c r="S53" i="9"/>
  <c r="AD54" i="9"/>
  <c r="AD55" i="9"/>
  <c r="AD56" i="9"/>
  <c r="AD53" i="9"/>
  <c r="O54" i="9"/>
  <c r="P54" i="9"/>
  <c r="O55" i="9"/>
  <c r="P55" i="9"/>
  <c r="O56" i="9"/>
  <c r="P56" i="9"/>
  <c r="P53" i="9"/>
  <c r="O53" i="9"/>
  <c r="E83" i="14"/>
  <c r="D84" i="14"/>
  <c r="E85" i="14"/>
  <c r="D85" i="14"/>
  <c r="AA22" i="9"/>
  <c r="AD22" i="9"/>
  <c r="AD21" i="9"/>
  <c r="AA21" i="9"/>
  <c r="U23" i="9"/>
  <c r="E21" i="2" s="1"/>
  <c r="X23" i="9"/>
  <c r="R23" i="9"/>
  <c r="C21" i="2" s="1"/>
  <c r="C19" i="2" s="1"/>
  <c r="C56" i="25" s="1"/>
  <c r="AA11" i="9"/>
  <c r="AD11" i="9"/>
  <c r="AD10" i="9"/>
  <c r="AA10" i="9"/>
  <c r="AA12" i="9"/>
  <c r="C12" i="20"/>
  <c r="E11" i="20"/>
  <c r="D11" i="20"/>
  <c r="F11" i="20" s="1"/>
  <c r="C11" i="20"/>
  <c r="M35" i="10"/>
  <c r="M36" i="10"/>
  <c r="M37" i="10"/>
  <c r="M38" i="10"/>
  <c r="D116" i="14"/>
  <c r="J68" i="10"/>
  <c r="E116" i="14" s="1"/>
  <c r="H68" i="10"/>
  <c r="D112" i="14" s="1"/>
  <c r="F68" i="10"/>
  <c r="D68" i="10"/>
  <c r="F64" i="10"/>
  <c r="D111" i="14"/>
  <c r="E115" i="14"/>
  <c r="F115" i="14"/>
  <c r="D60" i="10"/>
  <c r="D64" i="10"/>
  <c r="F60" i="10"/>
  <c r="H60" i="10"/>
  <c r="J60" i="10"/>
  <c r="E114" i="14" s="1"/>
  <c r="H114" i="14" s="1"/>
  <c r="L60" i="10"/>
  <c r="F114" i="14" s="1"/>
  <c r="L11" i="10"/>
  <c r="N11" i="10"/>
  <c r="L12" i="10"/>
  <c r="N12" i="10"/>
  <c r="L13" i="10"/>
  <c r="N13" i="10"/>
  <c r="L15" i="10"/>
  <c r="N15" i="10"/>
  <c r="L16" i="10"/>
  <c r="N16" i="10"/>
  <c r="L17" i="10"/>
  <c r="N17" i="10"/>
  <c r="L19" i="10"/>
  <c r="N19" i="10"/>
  <c r="L20" i="10"/>
  <c r="N20" i="10"/>
  <c r="L21" i="10"/>
  <c r="N21" i="10"/>
  <c r="F23" i="10"/>
  <c r="E124" i="14" s="1"/>
  <c r="I23" i="10"/>
  <c r="D124" i="14" s="1"/>
  <c r="F24" i="10"/>
  <c r="I24" i="10"/>
  <c r="F125" i="14" s="1"/>
  <c r="F25" i="10"/>
  <c r="I25" i="10"/>
  <c r="F126" i="14" s="1"/>
  <c r="C23" i="10"/>
  <c r="C124" i="14" s="1"/>
  <c r="C24" i="10"/>
  <c r="C125" i="14" s="1"/>
  <c r="C25" i="10"/>
  <c r="C126" i="14" s="1"/>
  <c r="N18" i="10"/>
  <c r="C18" i="10"/>
  <c r="F14" i="10"/>
  <c r="I14" i="10"/>
  <c r="C14" i="10"/>
  <c r="F10" i="10"/>
  <c r="F22" i="10" s="1"/>
  <c r="I10" i="10"/>
  <c r="I22" i="10" s="1"/>
  <c r="D123" i="14" s="1"/>
  <c r="C10" i="10"/>
  <c r="C113" i="14"/>
  <c r="C109" i="14"/>
  <c r="E19" i="11"/>
  <c r="D91" i="14" s="1"/>
  <c r="F19" i="11"/>
  <c r="E91" i="14" s="1"/>
  <c r="H91" i="14" s="1"/>
  <c r="G19" i="11"/>
  <c r="F91" i="14" s="1"/>
  <c r="D19" i="11"/>
  <c r="C91" i="14" s="1"/>
  <c r="E15" i="11"/>
  <c r="F15" i="11"/>
  <c r="G15" i="11"/>
  <c r="D15" i="11"/>
  <c r="E14" i="11"/>
  <c r="D90" i="14" s="1"/>
  <c r="F14" i="11"/>
  <c r="E90" i="14" s="1"/>
  <c r="H90" i="14" s="1"/>
  <c r="G14" i="11"/>
  <c r="F90" i="14" s="1"/>
  <c r="E19" i="2" l="1"/>
  <c r="D56" i="25" s="1"/>
  <c r="H56" i="25" s="1"/>
  <c r="I56" i="25" s="1"/>
  <c r="F110" i="14"/>
  <c r="H72" i="10"/>
  <c r="AD23" i="9"/>
  <c r="C22" i="10"/>
  <c r="C123" i="14" s="1"/>
  <c r="AA23" i="9"/>
  <c r="G90" i="14"/>
  <c r="G91" i="14"/>
  <c r="F56" i="25"/>
  <c r="G56" i="25" s="1"/>
  <c r="N14" i="10"/>
  <c r="N25" i="10"/>
  <c r="N60" i="10"/>
  <c r="N72" i="10" s="1"/>
  <c r="G114" i="14"/>
  <c r="D72" i="10"/>
  <c r="L14" i="10"/>
  <c r="N10" i="10"/>
  <c r="G12" i="20"/>
  <c r="H12" i="20"/>
  <c r="G110" i="14"/>
  <c r="D114" i="14"/>
  <c r="F116" i="14"/>
  <c r="D115" i="14"/>
  <c r="D110" i="14"/>
  <c r="D109" i="14" s="1"/>
  <c r="H110" i="14"/>
  <c r="F112" i="14"/>
  <c r="J72" i="10"/>
  <c r="F72" i="10"/>
  <c r="L72" i="10"/>
  <c r="F111" i="14"/>
  <c r="D81" i="14"/>
  <c r="E82" i="14"/>
  <c r="AB57" i="9"/>
  <c r="AA57" i="9"/>
  <c r="T57" i="9"/>
  <c r="O57" i="9"/>
  <c r="AD12" i="9"/>
  <c r="D9" i="20"/>
  <c r="F9" i="20"/>
  <c r="E9" i="20"/>
  <c r="H11" i="20"/>
  <c r="L18" i="10"/>
  <c r="D125" i="14"/>
  <c r="L24" i="10"/>
  <c r="L22" i="10"/>
  <c r="E126" i="14"/>
  <c r="N23" i="10"/>
  <c r="D126" i="14"/>
  <c r="F124" i="14"/>
  <c r="L25" i="10"/>
  <c r="L23" i="10"/>
  <c r="N24" i="10"/>
  <c r="N22" i="10"/>
  <c r="E125" i="14"/>
  <c r="D113" i="14" l="1"/>
  <c r="H9" i="20"/>
  <c r="G11" i="20"/>
  <c r="G9" i="20"/>
  <c r="D14" i="11"/>
  <c r="C90" i="14" s="1"/>
  <c r="D103" i="14"/>
  <c r="D106" i="14" s="1"/>
  <c r="E103" i="14"/>
  <c r="E106" i="14" s="1"/>
  <c r="F103" i="14"/>
  <c r="F106" i="14" s="1"/>
  <c r="C103" i="14"/>
  <c r="D99" i="14"/>
  <c r="E99" i="14"/>
  <c r="F99" i="14"/>
  <c r="D94" i="14"/>
  <c r="E94" i="14"/>
  <c r="H94" i="14" s="1"/>
  <c r="F94" i="14"/>
  <c r="G95" i="14"/>
  <c r="H95" i="14"/>
  <c r="G96" i="14"/>
  <c r="H96" i="14"/>
  <c r="G97" i="14"/>
  <c r="H97" i="14"/>
  <c r="G98" i="14"/>
  <c r="H98" i="14"/>
  <c r="G100" i="14"/>
  <c r="H100" i="14"/>
  <c r="G101" i="14"/>
  <c r="H101" i="14"/>
  <c r="G102" i="14"/>
  <c r="H102" i="14"/>
  <c r="G104" i="14"/>
  <c r="H104" i="14"/>
  <c r="G105" i="14"/>
  <c r="H105" i="14"/>
  <c r="H93" i="14"/>
  <c r="G93" i="14"/>
  <c r="C81" i="14"/>
  <c r="D71" i="14"/>
  <c r="E71" i="14"/>
  <c r="H71" i="14" s="1"/>
  <c r="F71" i="14"/>
  <c r="G71" i="14" s="1"/>
  <c r="C71" i="14"/>
  <c r="E66" i="14"/>
  <c r="C66" i="14"/>
  <c r="H13" i="3"/>
  <c r="D80" i="14"/>
  <c r="C80" i="14"/>
  <c r="E79" i="14"/>
  <c r="F79" i="14"/>
  <c r="C79" i="14"/>
  <c r="E78" i="14"/>
  <c r="D78" i="14"/>
  <c r="C78" i="14"/>
  <c r="E77" i="14"/>
  <c r="F77" i="14"/>
  <c r="D77" i="14"/>
  <c r="C77" i="14"/>
  <c r="F76" i="14"/>
  <c r="D76" i="14"/>
  <c r="C76" i="14"/>
  <c r="E75" i="14"/>
  <c r="H75" i="14" s="1"/>
  <c r="F8" i="3"/>
  <c r="F75" i="14" s="1"/>
  <c r="D75" i="14"/>
  <c r="C75" i="14"/>
  <c r="H8" i="3"/>
  <c r="E7" i="3"/>
  <c r="H67" i="18"/>
  <c r="G67" i="18"/>
  <c r="C58" i="18"/>
  <c r="D55" i="18"/>
  <c r="D54" i="18" s="1"/>
  <c r="F55" i="18"/>
  <c r="H103" i="14" l="1"/>
  <c r="G99" i="14"/>
  <c r="H99" i="14"/>
  <c r="G94" i="14"/>
  <c r="G103" i="14"/>
  <c r="H11" i="3"/>
  <c r="G9" i="3"/>
  <c r="G12" i="3"/>
  <c r="H12" i="3"/>
  <c r="H9" i="3"/>
  <c r="E54" i="18"/>
  <c r="G77" i="14"/>
  <c r="H77" i="14"/>
  <c r="H79" i="14"/>
  <c r="G79" i="14"/>
  <c r="G75" i="14"/>
  <c r="E80" i="14"/>
  <c r="D79" i="14"/>
  <c r="E76" i="14"/>
  <c r="H76" i="14" s="1"/>
  <c r="H10" i="3"/>
  <c r="G8" i="3"/>
  <c r="G10" i="3"/>
  <c r="G11" i="3"/>
  <c r="G13" i="3"/>
  <c r="E74" i="14"/>
  <c r="F80" i="14"/>
  <c r="F78" i="14"/>
  <c r="G78" i="14" s="1"/>
  <c r="F54" i="18"/>
  <c r="D7" i="3"/>
  <c r="D74" i="14" s="1"/>
  <c r="F7" i="3"/>
  <c r="H7" i="3" s="1"/>
  <c r="C7" i="3"/>
  <c r="C74" i="14" s="1"/>
  <c r="H48" i="18"/>
  <c r="D42" i="18"/>
  <c r="E42" i="18"/>
  <c r="F42" i="18"/>
  <c r="C42" i="18"/>
  <c r="H45" i="18"/>
  <c r="C41" i="18"/>
  <c r="G42" i="18"/>
  <c r="F40" i="18"/>
  <c r="C36" i="18"/>
  <c r="H31" i="18"/>
  <c r="D21" i="18"/>
  <c r="E18" i="18"/>
  <c r="E12" i="18"/>
  <c r="E67" i="14" s="1"/>
  <c r="F12" i="18"/>
  <c r="F8" i="18" s="1"/>
  <c r="D12" i="18"/>
  <c r="D67" i="14" s="1"/>
  <c r="C12" i="18"/>
  <c r="C67" i="14" s="1"/>
  <c r="G10" i="18"/>
  <c r="H10" i="18"/>
  <c r="G11" i="18"/>
  <c r="H11" i="18"/>
  <c r="G13" i="18"/>
  <c r="H13" i="18"/>
  <c r="G14" i="18"/>
  <c r="H14" i="18"/>
  <c r="G15" i="18"/>
  <c r="H15" i="18"/>
  <c r="G16" i="18"/>
  <c r="H16" i="18"/>
  <c r="H17" i="18"/>
  <c r="G19" i="18"/>
  <c r="H19" i="18"/>
  <c r="G20" i="18"/>
  <c r="H20" i="18"/>
  <c r="G22" i="18"/>
  <c r="H22" i="18"/>
  <c r="G23" i="18"/>
  <c r="H23" i="18"/>
  <c r="G24" i="18"/>
  <c r="H24" i="18"/>
  <c r="G25" i="18"/>
  <c r="H25" i="18"/>
  <c r="G26" i="18"/>
  <c r="H26" i="18"/>
  <c r="G27" i="18"/>
  <c r="H27" i="18"/>
  <c r="G28" i="18"/>
  <c r="H28" i="18"/>
  <c r="G29" i="18"/>
  <c r="H29" i="18"/>
  <c r="G30" i="18"/>
  <c r="H30" i="18"/>
  <c r="G32" i="18"/>
  <c r="H32" i="18"/>
  <c r="G37" i="18"/>
  <c r="H37" i="18"/>
  <c r="G38" i="18"/>
  <c r="H38" i="18"/>
  <c r="G39" i="18"/>
  <c r="H39" i="18"/>
  <c r="H42" i="18"/>
  <c r="G43" i="18"/>
  <c r="H43" i="18"/>
  <c r="G55" i="18"/>
  <c r="H55" i="18"/>
  <c r="G56" i="18"/>
  <c r="H56" i="18"/>
  <c r="G57" i="18"/>
  <c r="H57" i="18"/>
  <c r="G59" i="18"/>
  <c r="H59" i="18"/>
  <c r="G60" i="18"/>
  <c r="H60" i="18"/>
  <c r="G61" i="18"/>
  <c r="H61" i="18"/>
  <c r="G62" i="18"/>
  <c r="H62" i="18"/>
  <c r="G63" i="18"/>
  <c r="H63" i="18"/>
  <c r="G52" i="14"/>
  <c r="H52" i="14"/>
  <c r="D53" i="14"/>
  <c r="E53" i="14"/>
  <c r="F53" i="14"/>
  <c r="D54" i="14"/>
  <c r="D122" i="14" s="1"/>
  <c r="E54" i="14"/>
  <c r="E122" i="14" s="1"/>
  <c r="F54" i="14"/>
  <c r="F122" i="14" s="1"/>
  <c r="D55" i="14"/>
  <c r="E55" i="14"/>
  <c r="F55" i="14"/>
  <c r="D56" i="14"/>
  <c r="E56" i="14"/>
  <c r="F56" i="14"/>
  <c r="D57" i="14"/>
  <c r="E57" i="14"/>
  <c r="F57" i="14"/>
  <c r="D42" i="14"/>
  <c r="E42" i="14"/>
  <c r="H42" i="14" s="1"/>
  <c r="F42" i="14"/>
  <c r="G42" i="14" s="1"/>
  <c r="D43" i="14"/>
  <c r="E43" i="14"/>
  <c r="H43" i="14" s="1"/>
  <c r="F43" i="14"/>
  <c r="D44" i="14"/>
  <c r="E44" i="14"/>
  <c r="H44" i="14" s="1"/>
  <c r="F44" i="14"/>
  <c r="G44" i="14" s="1"/>
  <c r="D45" i="14"/>
  <c r="E45" i="14"/>
  <c r="H45" i="14" s="1"/>
  <c r="F45" i="14"/>
  <c r="D35" i="14"/>
  <c r="E35" i="14"/>
  <c r="H35" i="14" s="1"/>
  <c r="F35" i="14"/>
  <c r="G35" i="14" s="1"/>
  <c r="D36" i="14"/>
  <c r="E36" i="14"/>
  <c r="H36" i="14" s="1"/>
  <c r="F36" i="14"/>
  <c r="D37" i="14"/>
  <c r="E37" i="14"/>
  <c r="F37" i="14"/>
  <c r="D38" i="14"/>
  <c r="E38" i="14"/>
  <c r="F38" i="14"/>
  <c r="G45" i="14" l="1"/>
  <c r="G36" i="14"/>
  <c r="G43" i="14"/>
  <c r="G57" i="14"/>
  <c r="H56" i="14"/>
  <c r="F58" i="14"/>
  <c r="F67" i="14"/>
  <c r="G67" i="14" s="1"/>
  <c r="D18" i="18"/>
  <c r="F21" i="18"/>
  <c r="H80" i="14"/>
  <c r="H57" i="14"/>
  <c r="G55" i="14"/>
  <c r="D58" i="14"/>
  <c r="E17" i="11"/>
  <c r="H37" i="14"/>
  <c r="H38" i="14"/>
  <c r="H78" i="14"/>
  <c r="F17" i="11"/>
  <c r="G56" i="14"/>
  <c r="H55" i="14"/>
  <c r="G122" i="14"/>
  <c r="H122" i="14"/>
  <c r="G54" i="14"/>
  <c r="E58" i="14"/>
  <c r="G58" i="14" s="1"/>
  <c r="H54" i="14"/>
  <c r="H58" i="14"/>
  <c r="H53" i="14"/>
  <c r="G53" i="14"/>
  <c r="G38" i="14"/>
  <c r="G37" i="14"/>
  <c r="G47" i="18"/>
  <c r="G49" i="18"/>
  <c r="G50" i="18"/>
  <c r="G51" i="18"/>
  <c r="H49" i="18"/>
  <c r="G54" i="18"/>
  <c r="H50" i="18"/>
  <c r="H46" i="18"/>
  <c r="H47" i="18"/>
  <c r="D34" i="18"/>
  <c r="D68" i="14" s="1"/>
  <c r="G21" i="18"/>
  <c r="G31" i="18"/>
  <c r="G33" i="18"/>
  <c r="G45" i="18"/>
  <c r="G12" i="18"/>
  <c r="E44" i="18"/>
  <c r="C8" i="18"/>
  <c r="C34" i="18" s="1"/>
  <c r="H51" i="18"/>
  <c r="H33" i="18"/>
  <c r="H21" i="18"/>
  <c r="H12" i="18"/>
  <c r="H67" i="14"/>
  <c r="E8" i="18"/>
  <c r="E34" i="18" s="1"/>
  <c r="G46" i="18"/>
  <c r="C52" i="18"/>
  <c r="C69" i="14" s="1"/>
  <c r="G48" i="18"/>
  <c r="H54" i="18"/>
  <c r="G7" i="3"/>
  <c r="F74" i="14"/>
  <c r="G74" i="14" s="1"/>
  <c r="G80" i="14"/>
  <c r="G76" i="14"/>
  <c r="E41" i="18"/>
  <c r="D44" i="18"/>
  <c r="F18" i="18"/>
  <c r="G18" i="18" s="1"/>
  <c r="G17" i="18"/>
  <c r="E40" i="19"/>
  <c r="H40" i="19" s="1"/>
  <c r="D40" i="19"/>
  <c r="C40" i="19"/>
  <c r="D36" i="19"/>
  <c r="D63" i="14" s="1"/>
  <c r="C27" i="19"/>
  <c r="C62" i="14" s="1"/>
  <c r="D19" i="19"/>
  <c r="D61" i="14" s="1"/>
  <c r="F40" i="19"/>
  <c r="F36" i="19"/>
  <c r="F63" i="14" s="1"/>
  <c r="C36" i="19"/>
  <c r="C63" i="14" s="1"/>
  <c r="D27" i="19"/>
  <c r="D62" i="14" s="1"/>
  <c r="E27" i="19"/>
  <c r="F27" i="19"/>
  <c r="F62" i="14" s="1"/>
  <c r="E19" i="19"/>
  <c r="E61" i="14" s="1"/>
  <c r="F19" i="19"/>
  <c r="C61" i="14"/>
  <c r="G20" i="19"/>
  <c r="H20" i="19"/>
  <c r="G21" i="19"/>
  <c r="H21" i="19"/>
  <c r="G22" i="19"/>
  <c r="H22" i="19"/>
  <c r="G23" i="19"/>
  <c r="H23" i="19"/>
  <c r="G24" i="19"/>
  <c r="H24" i="19"/>
  <c r="G25" i="19"/>
  <c r="H25" i="19"/>
  <c r="G26" i="19"/>
  <c r="H26" i="19"/>
  <c r="G28" i="19"/>
  <c r="H28" i="19"/>
  <c r="G29" i="19"/>
  <c r="H29" i="19"/>
  <c r="G30" i="19"/>
  <c r="H30" i="19"/>
  <c r="G31" i="19"/>
  <c r="H31" i="19"/>
  <c r="G32" i="19"/>
  <c r="H32" i="19"/>
  <c r="G33" i="19"/>
  <c r="H33" i="19"/>
  <c r="G34" i="19"/>
  <c r="H34" i="19"/>
  <c r="G35" i="19"/>
  <c r="H35" i="19"/>
  <c r="G37" i="19"/>
  <c r="H37" i="19"/>
  <c r="G38" i="19"/>
  <c r="H38" i="19"/>
  <c r="H39" i="19"/>
  <c r="G41" i="19"/>
  <c r="H41" i="19"/>
  <c r="H42" i="19"/>
  <c r="G16" i="19"/>
  <c r="G11" i="19"/>
  <c r="H11" i="19"/>
  <c r="G12" i="19"/>
  <c r="H12" i="19"/>
  <c r="G13" i="19"/>
  <c r="H13" i="19"/>
  <c r="G14" i="19"/>
  <c r="H14" i="19"/>
  <c r="H16" i="19"/>
  <c r="H10" i="19"/>
  <c r="G10" i="19"/>
  <c r="H15" i="19"/>
  <c r="G15" i="19"/>
  <c r="D9" i="19"/>
  <c r="E9" i="19"/>
  <c r="H9" i="19" s="1"/>
  <c r="F9" i="19"/>
  <c r="G9" i="19" s="1"/>
  <c r="D41" i="18" l="1"/>
  <c r="F44" i="18"/>
  <c r="F41" i="18" s="1"/>
  <c r="H19" i="19"/>
  <c r="G17" i="11"/>
  <c r="H44" i="18"/>
  <c r="H74" i="14"/>
  <c r="C68" i="14"/>
  <c r="H8" i="18"/>
  <c r="F34" i="18"/>
  <c r="G44" i="18"/>
  <c r="G8" i="18"/>
  <c r="H18" i="18"/>
  <c r="F43" i="19"/>
  <c r="F64" i="14" s="1"/>
  <c r="F61" i="14"/>
  <c r="G61" i="14" s="1"/>
  <c r="H27" i="19"/>
  <c r="E62" i="14"/>
  <c r="H62" i="14" s="1"/>
  <c r="G40" i="19"/>
  <c r="G42" i="19"/>
  <c r="D43" i="19"/>
  <c r="D64" i="14" s="1"/>
  <c r="G39" i="19"/>
  <c r="E36" i="19"/>
  <c r="C43" i="19"/>
  <c r="C64" i="14" s="1"/>
  <c r="G27" i="19"/>
  <c r="G19" i="19"/>
  <c r="C40" i="2"/>
  <c r="C57" i="25" s="1"/>
  <c r="F9" i="2"/>
  <c r="D55" i="25"/>
  <c r="D9" i="2"/>
  <c r="F40" i="2"/>
  <c r="F29" i="14" s="1"/>
  <c r="D48" i="2"/>
  <c r="D30" i="14" s="1"/>
  <c r="E52" i="2"/>
  <c r="D58" i="25" s="1"/>
  <c r="E67" i="2"/>
  <c r="D60" i="25" s="1"/>
  <c r="C64" i="2"/>
  <c r="C52" i="2"/>
  <c r="C58" i="25" s="1"/>
  <c r="C48" i="2"/>
  <c r="C83" i="2"/>
  <c r="D83" i="2"/>
  <c r="C84" i="2"/>
  <c r="D84" i="2"/>
  <c r="C85" i="2"/>
  <c r="D85" i="2"/>
  <c r="C86" i="2"/>
  <c r="D86" i="2"/>
  <c r="C87" i="2"/>
  <c r="D87" i="2"/>
  <c r="F84" i="2"/>
  <c r="G84" i="2" s="1"/>
  <c r="F85" i="2"/>
  <c r="F86" i="2"/>
  <c r="F87" i="2"/>
  <c r="E87" i="2"/>
  <c r="H87" i="2" s="1"/>
  <c r="E86" i="2"/>
  <c r="G86" i="2" s="1"/>
  <c r="E85" i="2"/>
  <c r="E84" i="2"/>
  <c r="E83" i="2"/>
  <c r="G83" i="2" s="1"/>
  <c r="C67" i="2"/>
  <c r="C60" i="25" s="1"/>
  <c r="G12" i="2"/>
  <c r="H12" i="2"/>
  <c r="H13" i="2"/>
  <c r="G14" i="2"/>
  <c r="H14" i="2"/>
  <c r="G15" i="2"/>
  <c r="H15" i="2"/>
  <c r="G16" i="2"/>
  <c r="H16" i="2"/>
  <c r="G20" i="2"/>
  <c r="H20" i="2"/>
  <c r="G21" i="2"/>
  <c r="H21" i="2"/>
  <c r="G22" i="2"/>
  <c r="H22" i="2"/>
  <c r="G23" i="2"/>
  <c r="H23" i="2"/>
  <c r="G24" i="2"/>
  <c r="H24" i="2"/>
  <c r="G25" i="2"/>
  <c r="H25" i="2"/>
  <c r="G26" i="2"/>
  <c r="H26" i="2"/>
  <c r="G27" i="2"/>
  <c r="H27" i="2"/>
  <c r="G28" i="2"/>
  <c r="H28" i="2"/>
  <c r="G29" i="2"/>
  <c r="H29" i="2"/>
  <c r="G30" i="2"/>
  <c r="H30" i="2"/>
  <c r="G31" i="2"/>
  <c r="H31" i="2"/>
  <c r="G32" i="2"/>
  <c r="H32" i="2"/>
  <c r="G33" i="2"/>
  <c r="H33" i="2"/>
  <c r="G34" i="2"/>
  <c r="H34" i="2"/>
  <c r="H35" i="2"/>
  <c r="G36" i="2"/>
  <c r="H36" i="2"/>
  <c r="G37" i="2"/>
  <c r="H37" i="2"/>
  <c r="G38" i="2"/>
  <c r="H38" i="2"/>
  <c r="G41" i="2"/>
  <c r="H41" i="2"/>
  <c r="G42" i="2"/>
  <c r="H42" i="2"/>
  <c r="G43" i="2"/>
  <c r="H43" i="2"/>
  <c r="G44" i="2"/>
  <c r="H44" i="2"/>
  <c r="G45" i="2"/>
  <c r="H45" i="2"/>
  <c r="G46" i="2"/>
  <c r="H46" i="2"/>
  <c r="G49" i="2"/>
  <c r="H49" i="2"/>
  <c r="G50" i="2"/>
  <c r="H50" i="2"/>
  <c r="G53" i="2"/>
  <c r="H53" i="2"/>
  <c r="G54" i="2"/>
  <c r="H54" i="2"/>
  <c r="G55" i="2"/>
  <c r="H55" i="2"/>
  <c r="G56" i="2"/>
  <c r="H56" i="2"/>
  <c r="G57" i="2"/>
  <c r="H57" i="2"/>
  <c r="G60" i="2"/>
  <c r="H60" i="2"/>
  <c r="G61" i="2"/>
  <c r="H61" i="2"/>
  <c r="G62" i="2"/>
  <c r="H62" i="2"/>
  <c r="G63" i="2"/>
  <c r="H63" i="2"/>
  <c r="G65" i="2"/>
  <c r="H65" i="2"/>
  <c r="G68" i="2"/>
  <c r="H68" i="2"/>
  <c r="G71" i="2"/>
  <c r="H71" i="2"/>
  <c r="G72" i="2"/>
  <c r="H72" i="2"/>
  <c r="G73" i="2"/>
  <c r="H73" i="2"/>
  <c r="G74" i="2"/>
  <c r="H74" i="2"/>
  <c r="G80" i="2"/>
  <c r="H80" i="2"/>
  <c r="G85" i="2"/>
  <c r="G90" i="2"/>
  <c r="H90" i="2"/>
  <c r="G91" i="2"/>
  <c r="H91" i="2"/>
  <c r="G92" i="2"/>
  <c r="H92" i="2"/>
  <c r="G93" i="2"/>
  <c r="H93" i="2"/>
  <c r="G94" i="2"/>
  <c r="H94" i="2"/>
  <c r="G8" i="2"/>
  <c r="H8" i="2"/>
  <c r="G10" i="2"/>
  <c r="H10" i="2"/>
  <c r="F95" i="2"/>
  <c r="G11" i="2"/>
  <c r="H11" i="2"/>
  <c r="D18" i="2" l="1"/>
  <c r="E55" i="25"/>
  <c r="H61" i="14"/>
  <c r="H9" i="2"/>
  <c r="H83" i="2"/>
  <c r="G62" i="14"/>
  <c r="F68" i="14"/>
  <c r="E68" i="14"/>
  <c r="H36" i="19"/>
  <c r="E63" i="14"/>
  <c r="H69" i="2"/>
  <c r="E40" i="14"/>
  <c r="E31" i="14"/>
  <c r="G36" i="19"/>
  <c r="E43" i="19"/>
  <c r="E64" i="14" s="1"/>
  <c r="H64" i="14" s="1"/>
  <c r="D40" i="2"/>
  <c r="D67" i="2"/>
  <c r="D64" i="2"/>
  <c r="D39" i="14" s="1"/>
  <c r="H58" i="2"/>
  <c r="D52" i="2"/>
  <c r="F19" i="2"/>
  <c r="F28" i="14" s="1"/>
  <c r="H39" i="2"/>
  <c r="G39" i="2"/>
  <c r="D28" i="14"/>
  <c r="F48" i="2"/>
  <c r="F30" i="14" s="1"/>
  <c r="H17" i="2"/>
  <c r="G17" i="2"/>
  <c r="H85" i="2"/>
  <c r="F18" i="2"/>
  <c r="G87" i="2"/>
  <c r="H84" i="2"/>
  <c r="H86" i="2"/>
  <c r="G9" i="2"/>
  <c r="D40" i="14" l="1"/>
  <c r="E60" i="25"/>
  <c r="D29" i="14"/>
  <c r="E57" i="25"/>
  <c r="H55" i="25"/>
  <c r="I55" i="25" s="1"/>
  <c r="D31" i="14"/>
  <c r="E58" i="25"/>
  <c r="D78" i="2"/>
  <c r="H68" i="14"/>
  <c r="G68" i="14"/>
  <c r="H63" i="14"/>
  <c r="G63" i="14"/>
  <c r="G64" i="14"/>
  <c r="H19" i="2"/>
  <c r="E28" i="14"/>
  <c r="G19" i="2"/>
  <c r="D79" i="2"/>
  <c r="G47" i="2"/>
  <c r="H47" i="2"/>
  <c r="E64" i="2"/>
  <c r="H66" i="2"/>
  <c r="D59" i="2"/>
  <c r="D70" i="2" s="1"/>
  <c r="D75" i="2" s="1"/>
  <c r="E79" i="2"/>
  <c r="G69" i="2"/>
  <c r="F67" i="2"/>
  <c r="H67" i="2" s="1"/>
  <c r="F64" i="2"/>
  <c r="G66" i="2"/>
  <c r="G58" i="2"/>
  <c r="F52" i="2"/>
  <c r="G51" i="2"/>
  <c r="E30" i="14"/>
  <c r="H30" i="14" s="1"/>
  <c r="H51" i="2"/>
  <c r="D120" i="14"/>
  <c r="D121" i="14"/>
  <c r="D119" i="14"/>
  <c r="C99" i="14"/>
  <c r="C94" i="14"/>
  <c r="H58" i="25" l="1"/>
  <c r="I58" i="25" s="1"/>
  <c r="F58" i="25"/>
  <c r="G58" i="25" s="1"/>
  <c r="E54" i="25"/>
  <c r="F57" i="25"/>
  <c r="G57" i="25" s="1"/>
  <c r="E29" i="14"/>
  <c r="G29" i="14" s="1"/>
  <c r="D57" i="25"/>
  <c r="D54" i="25" s="1"/>
  <c r="H60" i="25"/>
  <c r="I60" i="25" s="1"/>
  <c r="F60" i="25"/>
  <c r="G60" i="25" s="1"/>
  <c r="D82" i="2"/>
  <c r="D88" i="2" s="1"/>
  <c r="G30" i="14"/>
  <c r="F31" i="14"/>
  <c r="H52" i="2"/>
  <c r="G67" i="2"/>
  <c r="F40" i="14"/>
  <c r="F59" i="2"/>
  <c r="F82" i="2" s="1"/>
  <c r="F88" i="2" s="1"/>
  <c r="G64" i="2"/>
  <c r="F39" i="14"/>
  <c r="H64" i="2"/>
  <c r="E39" i="14"/>
  <c r="H39" i="14" s="1"/>
  <c r="G28" i="14"/>
  <c r="H28" i="14"/>
  <c r="H40" i="2"/>
  <c r="G40" i="2"/>
  <c r="F78" i="2"/>
  <c r="G52" i="2"/>
  <c r="F79" i="2"/>
  <c r="G48" i="2"/>
  <c r="H48" i="2"/>
  <c r="E78" i="2"/>
  <c r="E59" i="2"/>
  <c r="E70" i="2" s="1"/>
  <c r="D76" i="2"/>
  <c r="D77" i="2"/>
  <c r="H54" i="25" l="1"/>
  <c r="I54" i="25" s="1"/>
  <c r="H29" i="14"/>
  <c r="H57" i="25"/>
  <c r="I57" i="25" s="1"/>
  <c r="G40" i="14"/>
  <c r="H40" i="14"/>
  <c r="F70" i="2"/>
  <c r="F75" i="2" s="1"/>
  <c r="F76" i="2" s="1"/>
  <c r="G39" i="14"/>
  <c r="G31" i="14"/>
  <c r="H31" i="14"/>
  <c r="E75" i="2"/>
  <c r="E82" i="2"/>
  <c r="E88" i="2" s="1"/>
  <c r="F77" i="2" l="1"/>
  <c r="H88" i="2"/>
  <c r="G88" i="2"/>
  <c r="E77" i="2"/>
  <c r="E76" i="2"/>
  <c r="H76" i="2" l="1"/>
  <c r="G76" i="2"/>
  <c r="H77" i="2"/>
  <c r="G77" i="2"/>
  <c r="D51" i="14" l="1"/>
  <c r="E51" i="14"/>
  <c r="H51" i="14" s="1"/>
  <c r="F51" i="14"/>
  <c r="G51" i="14" s="1"/>
  <c r="C51" i="14"/>
  <c r="C45" i="14"/>
  <c r="C44" i="14"/>
  <c r="C43" i="14"/>
  <c r="C42" i="14"/>
  <c r="D25" i="14"/>
  <c r="E25" i="14"/>
  <c r="F25" i="14"/>
  <c r="G18" i="11" l="1"/>
  <c r="E18" i="11"/>
  <c r="F18" i="11"/>
  <c r="H25" i="14"/>
  <c r="G25" i="14"/>
  <c r="H41" i="18"/>
  <c r="G41" i="18"/>
  <c r="D58" i="18"/>
  <c r="D64" i="18" s="1"/>
  <c r="D70" i="14" s="1"/>
  <c r="E58" i="18"/>
  <c r="F58" i="18"/>
  <c r="G58" i="18" l="1"/>
  <c r="F64" i="18"/>
  <c r="F70" i="14" s="1"/>
  <c r="H58" i="18"/>
  <c r="E64" i="18"/>
  <c r="E70" i="14" s="1"/>
  <c r="H70" i="14" s="1"/>
  <c r="G70" i="14" l="1"/>
  <c r="G64" i="18"/>
  <c r="H64" i="18"/>
  <c r="D118" i="14" l="1"/>
  <c r="C9" i="20"/>
  <c r="C55" i="18" s="1"/>
  <c r="C54" i="18" s="1"/>
  <c r="C64" i="18" s="1"/>
  <c r="J69" i="9"/>
  <c r="H69" i="9"/>
  <c r="F69" i="9"/>
  <c r="F85" i="14"/>
  <c r="F84" i="14"/>
  <c r="F83" i="14"/>
  <c r="H85" i="14"/>
  <c r="H83" i="14"/>
  <c r="G116" i="14"/>
  <c r="H116" i="14"/>
  <c r="H112" i="14"/>
  <c r="H126" i="14"/>
  <c r="H125" i="14"/>
  <c r="H124" i="14"/>
  <c r="F120" i="14"/>
  <c r="E120" i="14"/>
  <c r="F121" i="14"/>
  <c r="E121" i="14"/>
  <c r="F119" i="14"/>
  <c r="E119" i="14"/>
  <c r="C121" i="14"/>
  <c r="C120" i="14"/>
  <c r="C119" i="14"/>
  <c r="C54" i="14"/>
  <c r="E26" i="14"/>
  <c r="C56" i="14"/>
  <c r="D17" i="11" s="1"/>
  <c r="F36" i="18"/>
  <c r="C9" i="19"/>
  <c r="C55" i="14"/>
  <c r="C57" i="14"/>
  <c r="C53" i="14"/>
  <c r="D47" i="14"/>
  <c r="E47" i="14"/>
  <c r="F47" i="14"/>
  <c r="D48" i="14"/>
  <c r="E94" i="25" s="1"/>
  <c r="E92" i="25" s="1"/>
  <c r="E48" i="14"/>
  <c r="D94" i="25" s="1"/>
  <c r="D92" i="25" s="1"/>
  <c r="F48" i="14"/>
  <c r="C38" i="14"/>
  <c r="C37" i="14"/>
  <c r="C36" i="14"/>
  <c r="C35" i="14"/>
  <c r="C25" i="14"/>
  <c r="E95" i="2"/>
  <c r="C29" i="14"/>
  <c r="C40" i="14"/>
  <c r="C39" i="14"/>
  <c r="C31" i="14"/>
  <c r="C30" i="14"/>
  <c r="D95" i="2"/>
  <c r="C95" i="2"/>
  <c r="D26" i="14"/>
  <c r="D27" i="14" s="1"/>
  <c r="E89" i="25" s="1"/>
  <c r="C9" i="2"/>
  <c r="C28" i="14"/>
  <c r="C18" i="2" l="1"/>
  <c r="C59" i="2" s="1"/>
  <c r="C82" i="2" s="1"/>
  <c r="C88" i="2" s="1"/>
  <c r="C55" i="25"/>
  <c r="D32" i="14"/>
  <c r="E7" i="11"/>
  <c r="H119" i="14"/>
  <c r="H121" i="14"/>
  <c r="H120" i="14"/>
  <c r="C58" i="14"/>
  <c r="D18" i="11"/>
  <c r="F52" i="18"/>
  <c r="E27" i="14"/>
  <c r="R58" i="9"/>
  <c r="N58" i="9"/>
  <c r="Z58" i="9"/>
  <c r="V58" i="9"/>
  <c r="G83" i="14"/>
  <c r="G85" i="14"/>
  <c r="H82" i="14"/>
  <c r="F82" i="14"/>
  <c r="F81" i="14" s="1"/>
  <c r="G48" i="14"/>
  <c r="H48" i="14"/>
  <c r="H47" i="14"/>
  <c r="C65" i="18"/>
  <c r="C68" i="18" s="1"/>
  <c r="C70" i="14"/>
  <c r="C72" i="14" s="1"/>
  <c r="G112" i="14"/>
  <c r="G121" i="14"/>
  <c r="H111" i="14"/>
  <c r="E109" i="14"/>
  <c r="H115" i="14"/>
  <c r="E113" i="14"/>
  <c r="G119" i="14"/>
  <c r="G120" i="14"/>
  <c r="G111" i="14"/>
  <c r="F109" i="14"/>
  <c r="F113" i="14"/>
  <c r="G115" i="14"/>
  <c r="F107" i="14"/>
  <c r="G106" i="14"/>
  <c r="G95" i="2"/>
  <c r="H95" i="2"/>
  <c r="F26" i="14"/>
  <c r="H26" i="14" s="1"/>
  <c r="L10" i="10"/>
  <c r="C106" i="14"/>
  <c r="C107" i="14" s="1"/>
  <c r="D107" i="14"/>
  <c r="H43" i="19"/>
  <c r="C78" i="2"/>
  <c r="F118" i="14"/>
  <c r="C49" i="14"/>
  <c r="D49" i="14"/>
  <c r="C118" i="14"/>
  <c r="D50" i="14"/>
  <c r="E49" i="14"/>
  <c r="G124" i="14"/>
  <c r="G126" i="14"/>
  <c r="C26" i="14"/>
  <c r="C79" i="2"/>
  <c r="C122" i="14"/>
  <c r="G125" i="14"/>
  <c r="F7" i="11" l="1"/>
  <c r="D89" i="25"/>
  <c r="H89" i="25" s="1"/>
  <c r="I89" i="25" s="1"/>
  <c r="D41" i="14"/>
  <c r="E90" i="25"/>
  <c r="F55" i="25"/>
  <c r="G55" i="25" s="1"/>
  <c r="C54" i="25"/>
  <c r="F54" i="25" s="1"/>
  <c r="G54" i="25" s="1"/>
  <c r="H113" i="14"/>
  <c r="H118" i="14"/>
  <c r="F69" i="14"/>
  <c r="F65" i="18"/>
  <c r="E32" i="14"/>
  <c r="F27" i="14"/>
  <c r="G26" i="14"/>
  <c r="H109" i="14"/>
  <c r="G113" i="14"/>
  <c r="G82" i="14"/>
  <c r="F66" i="18"/>
  <c r="H66" i="18" s="1"/>
  <c r="D66" i="18"/>
  <c r="G109" i="14"/>
  <c r="G118" i="14"/>
  <c r="E107" i="14"/>
  <c r="H107" i="14" s="1"/>
  <c r="H106" i="14"/>
  <c r="G107" i="14"/>
  <c r="G43" i="19"/>
  <c r="H78" i="2"/>
  <c r="G78" i="2"/>
  <c r="G18" i="2"/>
  <c r="H18" i="2"/>
  <c r="H79" i="2"/>
  <c r="G79" i="2"/>
  <c r="E123" i="14"/>
  <c r="F49" i="14"/>
  <c r="G49" i="14" s="1"/>
  <c r="C33" i="14"/>
  <c r="C70" i="2"/>
  <c r="E50" i="14"/>
  <c r="F50" i="14"/>
  <c r="C27" i="14"/>
  <c r="C89" i="25" s="1"/>
  <c r="F89" i="25" s="1"/>
  <c r="G89" i="25" s="1"/>
  <c r="C50" i="14"/>
  <c r="D90" i="25" l="1"/>
  <c r="H90" i="25" s="1"/>
  <c r="I90" i="25" s="1"/>
  <c r="E41" i="14"/>
  <c r="D46" i="14"/>
  <c r="E91" i="25"/>
  <c r="H27" i="14"/>
  <c r="G7" i="11"/>
  <c r="C32" i="14"/>
  <c r="D7" i="11"/>
  <c r="D13" i="11"/>
  <c r="D8" i="11"/>
  <c r="C34" i="14"/>
  <c r="H49" i="14"/>
  <c r="G27" i="14"/>
  <c r="F32" i="14"/>
  <c r="D91" i="25"/>
  <c r="H91" i="25" s="1"/>
  <c r="H32" i="14"/>
  <c r="G50" i="14"/>
  <c r="H50" i="14"/>
  <c r="D66" i="14"/>
  <c r="F66" i="14"/>
  <c r="F68" i="18"/>
  <c r="C75" i="2"/>
  <c r="C17" i="19" s="1"/>
  <c r="H59" i="2"/>
  <c r="G59" i="2"/>
  <c r="G70" i="2"/>
  <c r="H70" i="2"/>
  <c r="AD58" i="9"/>
  <c r="F123" i="14"/>
  <c r="G123" i="14" s="1"/>
  <c r="E11" i="11" l="1"/>
  <c r="D87" i="14" s="1"/>
  <c r="E10" i="11"/>
  <c r="D89" i="14" s="1"/>
  <c r="E9" i="11"/>
  <c r="D88" i="14" s="1"/>
  <c r="H66" i="14"/>
  <c r="F72" i="14"/>
  <c r="C41" i="14"/>
  <c r="C90" i="25"/>
  <c r="F90" i="25" s="1"/>
  <c r="G90" i="25" s="1"/>
  <c r="H123" i="14"/>
  <c r="F41" i="14"/>
  <c r="H41" i="14" s="1"/>
  <c r="G32" i="14"/>
  <c r="E46" i="14"/>
  <c r="G66" i="14"/>
  <c r="H34" i="18"/>
  <c r="G34" i="18"/>
  <c r="C77" i="2"/>
  <c r="C48" i="14" s="1"/>
  <c r="C94" i="25" s="1"/>
  <c r="C76" i="2"/>
  <c r="C47" i="14" s="1"/>
  <c r="H82" i="2"/>
  <c r="G82" i="2"/>
  <c r="H75" i="2"/>
  <c r="G75" i="2"/>
  <c r="D33" i="14"/>
  <c r="E33" i="14"/>
  <c r="D17" i="19"/>
  <c r="E17" i="19"/>
  <c r="F11" i="11" l="1"/>
  <c r="E87" i="14" s="1"/>
  <c r="F10" i="11"/>
  <c r="E89" i="14" s="1"/>
  <c r="F9" i="11"/>
  <c r="E88" i="14" s="1"/>
  <c r="F94" i="25"/>
  <c r="G94" i="25" s="1"/>
  <c r="C92" i="25"/>
  <c r="F92" i="25" s="1"/>
  <c r="G92" i="25" s="1"/>
  <c r="C46" i="14"/>
  <c r="C91" i="25"/>
  <c r="F91" i="25" s="1"/>
  <c r="G91" i="25" s="1"/>
  <c r="E13" i="11"/>
  <c r="E8" i="11"/>
  <c r="D34" i="14"/>
  <c r="F8" i="11"/>
  <c r="E34" i="14"/>
  <c r="F46" i="14"/>
  <c r="G41" i="14"/>
  <c r="H46" i="14"/>
  <c r="F13" i="11"/>
  <c r="F17" i="19"/>
  <c r="F33" i="14"/>
  <c r="G10" i="11" l="1"/>
  <c r="F89" i="14" s="1"/>
  <c r="G89" i="14" s="1"/>
  <c r="G9" i="11"/>
  <c r="F88" i="14" s="1"/>
  <c r="G88" i="14" s="1"/>
  <c r="D11" i="11"/>
  <c r="C87" i="14" s="1"/>
  <c r="D9" i="11"/>
  <c r="C88" i="14" s="1"/>
  <c r="D10" i="11"/>
  <c r="C89" i="14" s="1"/>
  <c r="G46" i="14"/>
  <c r="G11" i="11"/>
  <c r="F87" i="14" s="1"/>
  <c r="G13" i="11"/>
  <c r="F34" i="14"/>
  <c r="H34" i="14" s="1"/>
  <c r="G8" i="11"/>
  <c r="G34" i="14"/>
  <c r="H33" i="14"/>
  <c r="G33" i="14"/>
  <c r="G66" i="18"/>
  <c r="H88" i="14" l="1"/>
  <c r="H89" i="14"/>
  <c r="H87" i="14"/>
  <c r="G87" i="14"/>
  <c r="AC56" i="9"/>
  <c r="AF56" i="9" s="1"/>
  <c r="X56" i="9"/>
  <c r="X55" i="9"/>
  <c r="AC54" i="9"/>
  <c r="AF54" i="9" s="1"/>
  <c r="X54" i="9"/>
  <c r="X57" i="9"/>
  <c r="X53" i="9"/>
  <c r="X52" i="9"/>
  <c r="AC55" i="9"/>
  <c r="AE55" i="9" s="1"/>
  <c r="W54" i="9"/>
  <c r="X51" i="9"/>
  <c r="AC51" i="9"/>
  <c r="AE51" i="9" s="1"/>
  <c r="W51" i="9"/>
  <c r="AC52" i="9"/>
  <c r="AF52" i="9" s="1"/>
  <c r="W52" i="9"/>
  <c r="W56" i="9"/>
  <c r="W53" i="9"/>
  <c r="AC53" i="9"/>
  <c r="AF53" i="9" s="1"/>
  <c r="W55" i="9"/>
  <c r="AE52" i="9" l="1"/>
  <c r="AF51" i="9"/>
  <c r="AE54" i="9"/>
  <c r="AE53" i="9"/>
  <c r="W57" i="9"/>
  <c r="AE56" i="9"/>
  <c r="AF55" i="9"/>
  <c r="E84" i="14"/>
  <c r="H84" i="14" l="1"/>
  <c r="G84" i="14"/>
  <c r="E81" i="14"/>
  <c r="U58" i="9"/>
  <c r="AF57" i="9"/>
  <c r="Q58" i="9"/>
  <c r="Y58" i="9"/>
  <c r="AE57" i="9"/>
  <c r="M58" i="9"/>
  <c r="AC58" i="9" l="1"/>
  <c r="H81" i="14"/>
  <c r="G81" i="14"/>
  <c r="E40" i="18"/>
  <c r="G40" i="18" l="1"/>
  <c r="E36" i="18"/>
  <c r="H40" i="18"/>
  <c r="D40" i="18"/>
  <c r="D36" i="18" s="1"/>
  <c r="D52" i="18" s="1"/>
  <c r="D65" i="18" l="1"/>
  <c r="D68" i="18" s="1"/>
  <c r="D69" i="14"/>
  <c r="D72" i="14" s="1"/>
  <c r="H36" i="18"/>
  <c r="G36" i="18"/>
  <c r="E52" i="18"/>
  <c r="G52" i="18" l="1"/>
  <c r="E69" i="14"/>
  <c r="E72" i="14" s="1"/>
  <c r="E65" i="18"/>
  <c r="E68" i="18" s="1"/>
  <c r="H52" i="18"/>
  <c r="G69" i="14" l="1"/>
  <c r="H69" i="14"/>
  <c r="G65" i="18"/>
  <c r="H68" i="18"/>
  <c r="G68" i="18" l="1"/>
  <c r="G72" i="14"/>
  <c r="H72" i="14"/>
</calcChain>
</file>

<file path=xl/comments1.xml><?xml version="1.0" encoding="utf-8"?>
<comments xmlns="http://schemas.openxmlformats.org/spreadsheetml/2006/main">
  <authors>
    <author>Драчук Ира</author>
  </authors>
  <commentList>
    <comment ref="B51" authorId="0" shapeId="0">
      <text>
        <r>
          <rPr>
            <b/>
            <sz val="9"/>
            <color indexed="81"/>
            <rFont val="Tahoma"/>
            <family val="2"/>
            <charset val="204"/>
          </rPr>
          <t>+вивіз сміття</t>
        </r>
      </text>
    </comment>
  </commentList>
</comments>
</file>

<file path=xl/sharedStrings.xml><?xml version="1.0" encoding="utf-8"?>
<sst xmlns="http://schemas.openxmlformats.org/spreadsheetml/2006/main" count="1370" uniqueCount="793">
  <si>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</si>
  <si>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</si>
  <si>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</si>
  <si>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</si>
  <si>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</si>
  <si>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</si>
  <si>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</si>
  <si>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</si>
  <si>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</si>
  <si>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</si>
  <si>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</si>
  <si>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</si>
  <si>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</si>
  <si>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</si>
  <si>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</si>
  <si>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</si>
  <si>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</si>
  <si>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</si>
  <si>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</si>
  <si>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</si>
  <si>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</si>
  <si>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</si>
  <si>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</si>
  <si>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</si>
  <si>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</si>
  <si>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</si>
  <si>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</si>
  <si>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</si>
  <si>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</si>
  <si>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</si>
  <si>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</si>
  <si>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</si>
  <si>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</si>
  <si>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</si>
  <si>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</si>
  <si>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</si>
  <si>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</si>
  <si>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</si>
  <si>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</si>
  <si>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</si>
  <si>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</si>
  <si>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</si>
  <si>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</si>
  <si>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</si>
  <si>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</si>
  <si>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</si>
  <si>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</si>
  <si>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</si>
  <si>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</si>
  <si>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</si>
  <si>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</si>
  <si>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</si>
  <si>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</si>
  <si>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</si>
  <si>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</si>
  <si>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</si>
  <si>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</si>
  <si>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</si>
  <si>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</si>
  <si>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</si>
  <si>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</si>
  <si>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</si>
  <si>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</si>
  <si>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</si>
  <si>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</si>
  <si>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</si>
  <si>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</si>
  <si>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</si>
  <si>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</si>
  <si>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</si>
  <si>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</si>
  <si>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</si>
  <si>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</si>
  <si>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Дата видачі / погашення (графік)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</si>
  <si>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</si>
  <si>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</si>
  <si>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</si>
  <si>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</si>
  <si>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</si>
  <si>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</si>
  <si>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</si>
  <si>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</si>
  <si>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</si>
  <si>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</si>
  <si>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</si>
  <si>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інші адміністративні витрати (розшифрувати)</t>
  </si>
  <si>
    <t>Фінансові витрати (розшифрувати)</t>
  </si>
  <si>
    <t>Втрати від участі в капіталі (розшифрувати)</t>
  </si>
  <si>
    <t>Інші фонди (розшифрувати)</t>
  </si>
  <si>
    <t>Усього витрат</t>
  </si>
  <si>
    <t>Інформація</t>
  </si>
  <si>
    <t>інші витрати (розшифрувати)</t>
  </si>
  <si>
    <t>Найменування  банку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</si>
  <si>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</si>
  <si>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</si>
  <si>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</si>
  <si>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</si>
  <si>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</si>
  <si>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Рік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</si>
  <si>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</si>
  <si>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</si>
  <si>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</si>
  <si>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</si>
  <si>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</si>
  <si>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</si>
  <si>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</si>
  <si>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</si>
  <si>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</si>
  <si>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</si>
  <si>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</si>
  <si>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</si>
  <si>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</si>
  <si>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</si>
  <si>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</si>
  <si>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</si>
  <si>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</si>
  <si>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</si>
  <si>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</si>
  <si>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</si>
  <si>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</si>
  <si>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</si>
  <si>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</si>
  <si>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</si>
  <si>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</si>
  <si>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</si>
  <si>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</si>
  <si>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</si>
  <si>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</si>
  <si>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</si>
  <si>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</si>
  <si>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</si>
  <si>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</si>
  <si>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</si>
  <si>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</si>
  <si>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</si>
  <si>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</si>
  <si>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</si>
  <si>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</si>
  <si>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</si>
  <si>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</si>
  <si>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</si>
  <si>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</si>
  <si>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</si>
  <si>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</si>
  <si>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</si>
  <si>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</si>
  <si>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</si>
  <si>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</si>
  <si>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</si>
  <si>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</si>
  <si>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</si>
  <si>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</si>
  <si>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</si>
  <si>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</si>
  <si>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</si>
  <si>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</si>
  <si>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</si>
  <si>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</si>
  <si>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</si>
  <si>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</si>
  <si>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</si>
  <si>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</si>
  <si>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</si>
  <si>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</si>
  <si>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</si>
  <si>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</si>
  <si>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</si>
  <si>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</si>
  <si>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</si>
  <si>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</si>
  <si>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</si>
  <si>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</si>
  <si>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</si>
  <si>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</si>
  <si>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</si>
  <si>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</si>
  <si>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</si>
  <si>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</si>
  <si>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</si>
  <si>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</si>
  <si>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</si>
  <si>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</si>
  <si>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</si>
  <si>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</si>
  <si>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</si>
  <si>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</si>
  <si>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</si>
  <si>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</si>
  <si>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</si>
  <si>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</si>
  <si>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</si>
  <si>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</si>
  <si>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</si>
  <si>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</si>
  <si>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</si>
  <si>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</si>
  <si>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</si>
  <si>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</si>
  <si>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</si>
  <si>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</si>
  <si>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</si>
  <si>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</si>
  <si>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</si>
  <si>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</si>
  <si>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</si>
  <si>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</si>
  <si>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</si>
  <si>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</si>
  <si>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</si>
  <si>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</si>
  <si>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</si>
  <si>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</si>
  <si>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</si>
  <si>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</si>
  <si>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</si>
  <si>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</si>
  <si>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Повернення коштів до бюджету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</si>
  <si>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</si>
  <si>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</si>
  <si>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</si>
  <si>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</si>
  <si>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</si>
  <si>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</si>
  <si>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</si>
  <si>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</si>
  <si>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</si>
  <si>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</si>
  <si>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</si>
  <si>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</si>
  <si>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</si>
  <si>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</si>
  <si>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</si>
  <si>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</si>
  <si>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</si>
  <si>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</si>
  <si>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</si>
  <si>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</si>
  <si>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</si>
  <si>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</si>
  <si>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</si>
  <si>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</si>
  <si>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</si>
  <si>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</si>
  <si>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</si>
  <si>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</si>
  <si>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</si>
  <si>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</si>
  <si>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</si>
  <si>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</si>
  <si>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</si>
  <si>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</si>
  <si>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</si>
  <si>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</si>
  <si>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</si>
  <si>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</si>
  <si>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</si>
  <si>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</si>
  <si>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</si>
  <si>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</si>
  <si>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</si>
  <si>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</si>
  <si>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</si>
  <si>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</si>
  <si>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</si>
  <si>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</si>
  <si>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</si>
  <si>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</si>
  <si>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</si>
  <si>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</si>
  <si>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</si>
  <si>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</si>
  <si>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</si>
  <si>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</si>
  <si>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</si>
  <si>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</si>
  <si>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</si>
  <si>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</si>
  <si>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</si>
  <si>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</si>
  <si>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</si>
  <si>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</si>
  <si>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</si>
  <si>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</si>
  <si>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</si>
  <si>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</si>
  <si>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</si>
  <si>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</si>
  <si>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інші податки та збори (розшифрувати)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</si>
  <si>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</si>
  <si>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</si>
  <si>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</si>
  <si>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</si>
  <si>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Погашення податкового боргу, усього, у тому числі:</t>
  </si>
  <si>
    <t>нетипові операційні витрати (розшифрувати)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</si>
  <si>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</si>
  <si>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</si>
  <si>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</si>
  <si>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</si>
  <si>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</si>
  <si>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</si>
  <si>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</si>
  <si>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</si>
  <si>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</si>
  <si>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</si>
  <si>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</si>
  <si>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</si>
  <si>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Цільове фінансування 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</si>
  <si>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</si>
  <si>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</si>
  <si>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</si>
  <si>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</si>
  <si>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</si>
  <si>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</si>
  <si>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</si>
  <si>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</si>
  <si>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</si>
  <si>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</si>
  <si>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</si>
  <si>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</si>
  <si>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</si>
  <si>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</si>
  <si>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</si>
  <si>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</si>
  <si>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</si>
  <si>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</si>
  <si>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</si>
  <si>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</si>
  <si>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</si>
  <si>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</si>
  <si>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</si>
  <si>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</si>
  <si>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</si>
  <si>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</si>
  <si>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Надходження коштів з міського бюджету</t>
  </si>
  <si>
    <t>Направлення коштів на:</t>
  </si>
  <si>
    <t>поповнення обігових коштів (розшифрувати)</t>
  </si>
  <si>
    <t xml:space="preserve">Усього виплат 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</si>
  <si>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</si>
  <si>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</si>
  <si>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</si>
  <si>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</si>
  <si>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</si>
  <si>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</si>
  <si>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</si>
  <si>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</si>
  <si>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</si>
  <si>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</si>
  <si>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</si>
  <si>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</si>
  <si>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</si>
  <si>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(тис.грн)</t>
  </si>
  <si>
    <t>Адміністративні витрати</t>
  </si>
  <si>
    <t>Інші операційні доходи</t>
  </si>
  <si>
    <t>Інші доходи</t>
  </si>
  <si>
    <t>Інші витрати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</si>
  <si>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</si>
  <si>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</si>
  <si>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Нараховані до сплати податки та збори до місцевих бюджетів (податкові платежі)</t>
  </si>
  <si>
    <t>Інші податки, збори та платежі на користь держави</t>
  </si>
  <si>
    <t>1048/1</t>
  </si>
  <si>
    <t xml:space="preserve"> (посада)</t>
  </si>
  <si>
    <t xml:space="preserve"> </t>
  </si>
  <si>
    <t>виконання, 
%</t>
  </si>
  <si>
    <t>Нараховані до сплати податки та збори до Державного бюджету України (податкові платежі)</t>
  </si>
  <si>
    <t>військовий збір</t>
  </si>
  <si>
    <t>Нараховані до сплати податки та збори до місцевих бюджетів (податкові платежі), усього, у тому числі: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</si>
  <si>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</si>
  <si>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</si>
  <si>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</si>
  <si>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</si>
  <si>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</si>
  <si>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</si>
  <si>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</si>
  <si>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</si>
  <si>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</si>
  <si>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</si>
  <si>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</si>
  <si>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>капітальне будівництво (розшифрувати)</t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</si>
  <si>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</si>
  <si>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Факт наростаючим підсумком 
з початку року 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</si>
  <si>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</si>
  <si>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</si>
  <si>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</si>
  <si>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</si>
  <si>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6"/>
        <rFont val="Times New Roman"/>
        <family val="1"/>
        <charset val="204"/>
      </rPr>
      <t>,
у тому числі:</t>
    </r>
  </si>
  <si>
    <t>Середньомісячні витрати на оплату праці 
одного працівника (грн), усього,
у тому числі:</t>
  </si>
  <si>
    <t>Найменування видів діяльності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</si>
  <si>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</si>
  <si>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>IV. Розподіл коштів, отриманих з  бюджету на поповнення статутного капіталу</t>
  </si>
  <si>
    <t xml:space="preserve">Факт наростаючим підсумком </t>
  </si>
  <si>
    <t>Надходження грошових коштів від операційної діяльності</t>
  </si>
  <si>
    <t>Інші надходження, усього, у тому числі:</t>
  </si>
  <si>
    <t>Інші платежі, усього, у тому числі:</t>
  </si>
  <si>
    <t>капітальне будівництво, усього, у тому числі:</t>
  </si>
  <si>
    <t>придбання (створення) нематеріальних активів, усього, у тому числі: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</si>
  <si>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</si>
  <si>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</si>
  <si>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 xml:space="preserve">Усього нарахованих виплат </t>
  </si>
  <si>
    <t>Нараховані до сплати інші податки, збори та платежі, усього, у тому числі:</t>
  </si>
  <si>
    <t>єдиний внесок на загальнообов'язкове державне соціальне страхування</t>
  </si>
  <si>
    <t>Розшифровка до Таблиці 1 "Формування фінансових результатів"</t>
  </si>
  <si>
    <t>Розшифровка до Таблиці 3 "Рух грошових коштів (за прямим методом)"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</si>
  <si>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</si>
  <si>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</si>
  <si>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r>
      <t xml:space="preserve">Орган державного управління  </t>
    </r>
    <r>
      <rPr>
        <b/>
        <i/>
        <sz val="16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</si>
  <si>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indexed="8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indexed="8"/>
        <rFont val="Times New Roman"/>
        <family val="1"/>
        <charset val="204"/>
      </rPr>
      <t>, у тому числі:</t>
    </r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</si>
  <si>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</si>
  <si>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t>Одиниця виміру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</si>
  <si>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</si>
  <si>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</si>
  <si>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Надходження від отримання субсидій, дотацій</t>
  </si>
  <si>
    <t>Витрати на паливо (опалення)</t>
  </si>
  <si>
    <t xml:space="preserve">придбання та оновлення необоротних активів </t>
  </si>
  <si>
    <t>Відхилення, (+,-)</t>
  </si>
  <si>
    <t>інші джерела (розшифрувати)</t>
  </si>
  <si>
    <t>Матеріальні витрати</t>
  </si>
  <si>
    <t>Середньомісячні витрати на оплату праці одного працівника (грн), усього, у тому числі:</t>
  </si>
  <si>
    <t>-</t>
  </si>
  <si>
    <t>інші витрати на збут (розшифрувати)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</si>
  <si>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</si>
  <si>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комунальними підприємствами, що є власністю Вінницької міської об'єднаної територіальної громади до бюджету Вінницької міської ТГ</t>
  </si>
  <si>
    <t>інші  (штрафи, пені, неустойки) (розшифрувати)</t>
  </si>
  <si>
    <t xml:space="preserve">Інші витрати (розшифрувати) </t>
  </si>
  <si>
    <t>____________________________</t>
  </si>
  <si>
    <t>за 2022 рік</t>
  </si>
  <si>
    <t xml:space="preserve">минулий 2021 рік </t>
  </si>
  <si>
    <t xml:space="preserve">поточний 2022 рік </t>
  </si>
  <si>
    <t>Звітний 2022 рік</t>
  </si>
  <si>
    <t>Факт минулого 2021 року</t>
  </si>
  <si>
    <t>План звітного 2022 року</t>
  </si>
  <si>
    <t>Факт звітного 2022 року</t>
  </si>
  <si>
    <t>Виконання,
(%)</t>
  </si>
  <si>
    <t xml:space="preserve">минулий 
2021 рік </t>
  </si>
  <si>
    <t xml:space="preserve">поточний 
2022 рік </t>
  </si>
  <si>
    <t>(тис. грн)</t>
  </si>
  <si>
    <t>тис. грн</t>
  </si>
  <si>
    <t>капітальний ремонт, усього, у тому числі:</t>
  </si>
  <si>
    <t xml:space="preserve">минулий
 2021 рік </t>
  </si>
  <si>
    <t>інші платежі</t>
  </si>
  <si>
    <t>минулий 2021 рік</t>
  </si>
  <si>
    <t>поточний 2022 рік</t>
  </si>
  <si>
    <r>
      <t xml:space="preserve">до звіту про виконання показників фінансового плану за 2022 рік 
                                                                                                </t>
    </r>
    <r>
      <rPr>
        <sz val="12"/>
        <rFont val="Times New Roman"/>
        <family val="1"/>
        <charset val="204"/>
      </rPr>
      <t xml:space="preserve"> </t>
    </r>
  </si>
  <si>
    <t>Факт
минулого 2021 року</t>
  </si>
  <si>
    <t>План
звітного 2022 року</t>
  </si>
  <si>
    <t>Факт
звітного 2022 року</t>
  </si>
  <si>
    <t>Заборгованість за кредитами станом на 01.01.2022 року</t>
  </si>
  <si>
    <t>Отримано залучених коштів за звітний 2022 рік</t>
  </si>
  <si>
    <t>Повернено залучених коштів за звітний 2022 рік</t>
  </si>
  <si>
    <t>Заборгованість станом на 01.01.2023 року</t>
  </si>
  <si>
    <t>Цільове фінансування, усього, у тому числі:</t>
  </si>
  <si>
    <t>Надходження від повернення авансів</t>
  </si>
  <si>
    <t>Поповнення статутного капіталу підприємства</t>
  </si>
  <si>
    <t>факт 
минулого 2021 року</t>
  </si>
  <si>
    <t>план
звітного 2022 року</t>
  </si>
  <si>
    <t>факт
звітного 2022 року</t>
  </si>
  <si>
    <t>факт
минулого 2021 року</t>
  </si>
  <si>
    <t>7. Джерела капітальних інвестицій у 2022 році</t>
  </si>
  <si>
    <t>Інші джерела (розшифрувати)</t>
  </si>
  <si>
    <t>ВИТРАТНА ЧАСТИНА</t>
  </si>
  <si>
    <t>Собівартість реалізованої продукції (товарів, робіт, послуг)                                                         "Інші витрати", усього, у тому числі:</t>
  </si>
  <si>
    <t>1018</t>
  </si>
  <si>
    <t>- у сфері інформації</t>
  </si>
  <si>
    <t>-  сферах права, бухгалтерського обліку та інше</t>
  </si>
  <si>
    <t>- у сфері освіти</t>
  </si>
  <si>
    <t>-  охорони праці, здоров’я</t>
  </si>
  <si>
    <t>- фінансове посередництво (страхування майна)</t>
  </si>
  <si>
    <t>- санітарні послуги, прибирання сміття, знищення відходів</t>
  </si>
  <si>
    <t>- індивідуальні послуги</t>
  </si>
  <si>
    <t>- по оренді</t>
  </si>
  <si>
    <t>- витрати на відрядження</t>
  </si>
  <si>
    <t>- реклама на трамваях та тролейбусах</t>
  </si>
  <si>
    <t>- автопослуги</t>
  </si>
  <si>
    <t>- медичний предрейсовий контроль</t>
  </si>
  <si>
    <t>- демонтаж новорічної ялинки</t>
  </si>
  <si>
    <t>- проведення конференції підприємств "Укрелектротранс"</t>
  </si>
  <si>
    <t>Ідальні:</t>
  </si>
  <si>
    <t>- дератизація і медичний огляд</t>
  </si>
  <si>
    <t>База відпочинку:</t>
  </si>
  <si>
    <t>- оплата відряджень</t>
  </si>
  <si>
    <t xml:space="preserve">- податок на землю </t>
  </si>
  <si>
    <t>"Інші адміністративні витрати"</t>
  </si>
  <si>
    <t>1049</t>
  </si>
  <si>
    <t xml:space="preserve">Податки: </t>
  </si>
  <si>
    <t>- туристичний збір</t>
  </si>
  <si>
    <t>- податок на землю</t>
  </si>
  <si>
    <t>- екологічний податок</t>
  </si>
  <si>
    <t>- податок на радіочастоти</t>
  </si>
  <si>
    <t>Послуги банка за розрахункове обслуговування</t>
  </si>
  <si>
    <t>Охорона об҆єктів: адмінуправління (договір №185 від 18.08.2021 року)</t>
  </si>
  <si>
    <t>"Інші витрати на збут"</t>
  </si>
  <si>
    <t>1067</t>
  </si>
  <si>
    <t>Інші  -   всього:</t>
  </si>
  <si>
    <t>винагорода за реалізацію проїзних</t>
  </si>
  <si>
    <t>ремонт кіосків</t>
  </si>
  <si>
    <t>обслуговування касової техніки</t>
  </si>
  <si>
    <t>Матеріали</t>
  </si>
  <si>
    <t>"Інші операційні витрати"</t>
  </si>
  <si>
    <t>1086</t>
  </si>
  <si>
    <t>Собівартість реалізованого металобрухту</t>
  </si>
  <si>
    <t>Сплачені пені</t>
  </si>
  <si>
    <t>Інформаційні послуги (WiFi, література)</t>
  </si>
  <si>
    <t>Пільгові пенсії</t>
  </si>
  <si>
    <t>Членські внески</t>
  </si>
  <si>
    <t>Матеріальна допомога ветеранам</t>
  </si>
  <si>
    <t>Відрахування з фонду заробітної плати на культурно-масову роботу (0,3%)</t>
  </si>
  <si>
    <t>Ритуальні послуги</t>
  </si>
  <si>
    <t>Послуги автомобільного транспорту</t>
  </si>
  <si>
    <t>Знецінення матеріалів</t>
  </si>
  <si>
    <t>Витрати на псування та крадіжка</t>
  </si>
  <si>
    <t>"Фінансові витрати"</t>
  </si>
  <si>
    <t>1140</t>
  </si>
  <si>
    <t>Відсотки за отримані кредити в тому числі:</t>
  </si>
  <si>
    <t>КП "Фонд муніципальних інвестицій"</t>
  </si>
  <si>
    <t>АБ "Укргазбанк"</t>
  </si>
  <si>
    <t>Погашення лізингових платежів в тому числі:</t>
  </si>
  <si>
    <t>ТОВ "ФК" "Муніципальні платіжні системи ""</t>
  </si>
  <si>
    <t>АБ "Укргазбанк" (комісія та відсотки)</t>
  </si>
  <si>
    <t>"Інші витрати"</t>
  </si>
  <si>
    <t>1162</t>
  </si>
  <si>
    <t>Списання необоротних активів</t>
  </si>
  <si>
    <t>Відшкодування втрат після ДТП</t>
  </si>
  <si>
    <t>Відрядження, проживання в готелі</t>
  </si>
  <si>
    <t>АТО (паливо.харчування)</t>
  </si>
  <si>
    <t>Послуги з харчування представникам заводу Отокар на проведення пуско-налагоджувальних робіт та навчання персоналу по технічному обслуговуванню автобусів</t>
  </si>
  <si>
    <t>ДОХІДНА ЧАСТИНА</t>
  </si>
  <si>
    <t>"Інші операційні доходи"</t>
  </si>
  <si>
    <t>1073</t>
  </si>
  <si>
    <t>Дохід від реалізації оборотних активів, від  оприбуткування товарно-матеріальних цінностей</t>
  </si>
  <si>
    <t>Дохід від оренди</t>
  </si>
  <si>
    <t xml:space="preserve">Видатки на оплату фактично виконаних обсягів  пасажироперевезень МЕТ для беззбиткової роботи згідно розрахунків КП ВТК </t>
  </si>
  <si>
    <t>Видатки на оплату фактично виконаних обсягів  пасажироперевезень  пасажирським автомобільним транспортом загального користування згідно розрахунків КП ВТК для беззбиткової роботи</t>
  </si>
  <si>
    <t>Кошти бюджету, в т.ч.:</t>
  </si>
  <si>
    <t>5.1</t>
  </si>
  <si>
    <t>- на компенсацію пільгового проїзду учнів</t>
  </si>
  <si>
    <t>5.2</t>
  </si>
  <si>
    <t>- на компенсацію пільгового проїзду  студентів</t>
  </si>
  <si>
    <t>5.3</t>
  </si>
  <si>
    <t>- на компенсацію за безоплатний  проїзд багатодітних сімей</t>
  </si>
  <si>
    <t>5.4</t>
  </si>
  <si>
    <t>- на оплату фактично виконаних обсягів пасажироперевезень міським електричним транспортом</t>
  </si>
  <si>
    <t>5.5</t>
  </si>
  <si>
    <t xml:space="preserve">- фінансова підтримка-дотація на покриття збитків КП "ВТК" від надання послуг пасажирським автомобільним транспортом загального користування </t>
  </si>
  <si>
    <t>- на оплату фактично виконаних обсягів пасажироперевезень автомобільним транспортом загального користування у звичайному режимі руху</t>
  </si>
  <si>
    <t>5.6</t>
  </si>
  <si>
    <t>- компенсація за пільговий проїзд окремих категорій громадян Вінницької міської територіальної громади міським електротранспортом</t>
  </si>
  <si>
    <t>5.7</t>
  </si>
  <si>
    <t>- компенсація за пільговий проїзд окремих категорій громадян Вінницької міської територіальної громади автобусами загального користування</t>
  </si>
  <si>
    <t>7</t>
  </si>
  <si>
    <t>Дохід від списання кредиторської заборгованості</t>
  </si>
  <si>
    <t>Відшкодування витрат на розвиток виробництва</t>
  </si>
  <si>
    <t>Непокриті фінансуванням витрати для беззбиткової роботи підприємства</t>
  </si>
  <si>
    <t>"Інші фінансові доходи"</t>
  </si>
  <si>
    <t>1130</t>
  </si>
  <si>
    <t xml:space="preserve">Відсотки, одержані від банку за користування коштами підприємства </t>
  </si>
  <si>
    <t>"Інші доходи"</t>
  </si>
  <si>
    <t>1152</t>
  </si>
  <si>
    <t>- оприбуткований металобрухт від розборки</t>
  </si>
  <si>
    <t>- амортизація безкоштовно отриманих основних засобів</t>
  </si>
  <si>
    <t>- безоплатно отриманих активіві (швейцарські трамваї та запасні частини до них)</t>
  </si>
  <si>
    <t>- інші,    в т.ч.</t>
  </si>
  <si>
    <t>- новорічна ялинка</t>
  </si>
  <si>
    <t>-  навчання  в центрі зайнятості та навчання водіїв</t>
  </si>
  <si>
    <t>- отримані від маршрутних таксі (згідно договору про співпрацю з метою визначення результатів функціонування автобусних маршрутів)</t>
  </si>
  <si>
    <t>- оренда приміщень</t>
  </si>
  <si>
    <t>- відшкодування збитку при ДТП</t>
  </si>
  <si>
    <t>- відшкодування заробітної плати військовослужбовцям</t>
  </si>
  <si>
    <t>- наклейки</t>
  </si>
  <si>
    <t>- дохід від реалізаціі активів</t>
  </si>
  <si>
    <t>- порушення умов тендеру</t>
  </si>
  <si>
    <t>Т.в.о.генерального директора КП"ВТК"</t>
  </si>
  <si>
    <t>Олександр Нечаєв</t>
  </si>
  <si>
    <t>інші податки та збори (екологічний податок)</t>
  </si>
  <si>
    <t>інші податки, збори та платежі (туристичний збір)</t>
  </si>
  <si>
    <t>придбання (виробництво) основних засобів, усього, у тому числі:</t>
  </si>
  <si>
    <t>- будиночки база відпочинку "Луна"</t>
  </si>
  <si>
    <t>- кіоск</t>
  </si>
  <si>
    <t>- комп'ютер</t>
  </si>
  <si>
    <t>- міських газових автобусів великої місткості (10шт.), 50% вартості</t>
  </si>
  <si>
    <t>- ноутбук</t>
  </si>
  <si>
    <t>- отримання та адаптація трамвайних вагонів з м.Цюріх - 35 одиниць</t>
  </si>
  <si>
    <t>- паркан</t>
  </si>
  <si>
    <t xml:space="preserve">- принтер </t>
  </si>
  <si>
    <t>- розробка та впровадження автоматизованої системи комерційного обліку електроенергії АСКОЕ</t>
  </si>
  <si>
    <t>- система пожежної сигналізації (трамвайне депо)</t>
  </si>
  <si>
    <t>- токарно-гвинторізний станок моделі типу 16К20</t>
  </si>
  <si>
    <t>- тролейбус (кузов)</t>
  </si>
  <si>
    <t>модернізація, модифікація (добудова, дообладнання, реконструкція, виробництво) основних засобів, усього, у тому числі:</t>
  </si>
  <si>
    <t>- виробництво тролейбусів з автономним ходом до 20км, 50% вартості</t>
  </si>
  <si>
    <t>програмне забезпечення</t>
  </si>
  <si>
    <t>- капітальний ремонт контактної мережі трамвая по вул.Келецькій (1,9км)</t>
  </si>
  <si>
    <t>- капітальний ремонт контактної мережі тролейбуса По вул.Коцюбинського (2,09км)</t>
  </si>
  <si>
    <t>- капітальний ремонт трамвайної колії крива вул.Барське шосе від зуп.Західний автовокзал до СП №54</t>
  </si>
  <si>
    <t>- капітальний ремонт трамвайної колії крива вул.Нансена і вул.Коцюбинського в обох напрямках ( 0,4км)</t>
  </si>
  <si>
    <t>- капітальний ремонт трамвайної колії по класичній технології по вул.Хмельницьке шосе від пр.Космонавтів до пр.Юності в напрумку Барське шосе (0,1км)</t>
  </si>
  <si>
    <t>- капітальний ремонт трамвайної колії по класичній технології по пр.Коцюбинського від площі Героїв Чорнобиля з вул.Нансена в обох напрямках (0,075км)</t>
  </si>
  <si>
    <t>виробництво тролейбусів з автономним ходом до 20км, 50% вартості</t>
  </si>
  <si>
    <t>отримання та адаптація трамвайних вагонів з м.Цюріх - 35 одиниць</t>
  </si>
  <si>
    <t>міських газових автобусів великої місткості (10шт.), 50% вартості</t>
  </si>
  <si>
    <t xml:space="preserve">погашення основних платежів договору кредитування на виробництво тролейбусів з автономним ходом </t>
  </si>
  <si>
    <t>погашення основних платежів договору фінансового лізингу з придбання міських газових автобусів великої місткості (10шт.)</t>
  </si>
  <si>
    <t>поповнення обігових коштів підприємства:</t>
  </si>
  <si>
    <t>Компенсація пільгового проїзду окремих категорій громадян МЕТ</t>
  </si>
  <si>
    <t>Компенсація пільгового проїзду громадян автобусом</t>
  </si>
  <si>
    <t>3.1</t>
  </si>
  <si>
    <t>3.2</t>
  </si>
  <si>
    <t>- на компенсацію пільгового проїзду студентів</t>
  </si>
  <si>
    <t>3.3</t>
  </si>
  <si>
    <t>- на компенсацію за безоплатний проїзд багатодітних сімей</t>
  </si>
  <si>
    <t>3.4</t>
  </si>
  <si>
    <t>3.5</t>
  </si>
  <si>
    <t>- фінансова підтримка-дотація на покриття збитків КП "ВТК" на надання послуг пасажирським автомобільним транспортом загального користування</t>
  </si>
  <si>
    <t>3.6</t>
  </si>
  <si>
    <t>3.7</t>
  </si>
  <si>
    <t xml:space="preserve"> - компенсація за пільговий проїзд окремих категорій громадян Вінницької міської територіальної громади міським електротранспортом</t>
  </si>
  <si>
    <t>3.8</t>
  </si>
  <si>
    <t xml:space="preserve"> - компенсація за пільговий проїзд окремих категорій громадян Вінницької міської територіальної громади автобусами загального користування</t>
  </si>
  <si>
    <t>Непокритті фінансуванням витрати для беззбиткової роботи підприємства</t>
  </si>
  <si>
    <t>Відшкодування лікарняних фондом соціального страхування</t>
  </si>
  <si>
    <t>Відшкодування ДТП</t>
  </si>
  <si>
    <t>Порушення тендерних умов</t>
  </si>
  <si>
    <t>Екологічний податок</t>
  </si>
  <si>
    <t>Туристичний збір</t>
  </si>
  <si>
    <t>Радіочастоти</t>
  </si>
  <si>
    <t>Відшкодування по виконавчим листам (аліменти)</t>
  </si>
  <si>
    <t>Витрати по  відрядженням</t>
  </si>
  <si>
    <t>Послуги звʼязку (інтернет, телефон, WiFi)</t>
  </si>
  <si>
    <t>Витрати на навчання</t>
  </si>
  <si>
    <t>Послуги сторонніх організацій (гідроізоляція, атестація робочих місць, архів, техобслуговування автомобілів, газопостачання, виготовлення обладнання та ін.)</t>
  </si>
  <si>
    <t>Метрологічне обслуговування приладів</t>
  </si>
  <si>
    <t>Витрати на рекламу (радіо, газети, телебачення)</t>
  </si>
  <si>
    <t>Витрати на медичний огляд працівників</t>
  </si>
  <si>
    <t>Оренда землі в с. Сичавка</t>
  </si>
  <si>
    <t>Модернізація та обслуговування обчислювальної техніки та програм</t>
  </si>
  <si>
    <t>Відшкодування членських внесків організаціям (Корпорація)</t>
  </si>
  <si>
    <t>Виплата пільгових пенсій</t>
  </si>
  <si>
    <t>Охорона по договору (трамвайне та тролейбусне депо , служба колії, енергогосподарство, автогосподарство, автобусний парк та адмінуправління (договір №185 від 18.08.2021 року)</t>
  </si>
  <si>
    <t>Фінансове посередництво (страхування майна)</t>
  </si>
  <si>
    <t>Відшкодування збитків при аваріях, ДТП</t>
  </si>
  <si>
    <t>Витрати по дератизації, дезінфекції, утилізація</t>
  </si>
  <si>
    <t>Технічний огляд транспортних засобів та ремонт</t>
  </si>
  <si>
    <t>Послуги по оренді диспетчерських пунктів</t>
  </si>
  <si>
    <t>Матеріальна допомога</t>
  </si>
  <si>
    <t>Витрачання на оплату авансів</t>
  </si>
  <si>
    <t>Інші:</t>
  </si>
  <si>
    <t>- виготовлення інформаційних систем</t>
  </si>
  <si>
    <t>- обстеження вагонів</t>
  </si>
  <si>
    <t>- ремонт переїздів трамвайної колії з проїжджою частиною доріг, асфальтування міжколійних ділянок</t>
  </si>
  <si>
    <t>- переоснащення ТП</t>
  </si>
  <si>
    <t>- винагорода муніципальним платіжним системам</t>
  </si>
  <si>
    <t>- ремонт будівель</t>
  </si>
  <si>
    <t>- проектні роботи</t>
  </si>
  <si>
    <t>- страхова компанія "Місто"</t>
  </si>
  <si>
    <t>- ремонт двигунів (тролейбусів, трамваїв, автобусів)</t>
  </si>
  <si>
    <t>- мийка вагонів</t>
  </si>
  <si>
    <t>- фарбування вагонів, автобусів</t>
  </si>
  <si>
    <t>- обробка деревяних та металевих конструкцій вогнезахисним розчином</t>
  </si>
  <si>
    <t>- пожежна сигналізація</t>
  </si>
  <si>
    <t>- Обком, профком (профспілкові внески)</t>
  </si>
  <si>
    <t>- будівництво ТП-19 по вул.Стрілецька, б/н (біля будинку №4)</t>
  </si>
  <si>
    <t>придбання (створення, виробництво) основних засобів,  усього, у тому числі:</t>
  </si>
  <si>
    <t>- принтер</t>
  </si>
  <si>
    <t>1</t>
  </si>
  <si>
    <t xml:space="preserve">модернізація, модифікація (добудова, дообладнання, реконструкція, виробництво) основних засобів, усього, у тому числі: </t>
  </si>
  <si>
    <t>будиночки база відпочинку "Луна"</t>
  </si>
  <si>
    <t>2</t>
  </si>
  <si>
    <t>3</t>
  </si>
  <si>
    <t>5</t>
  </si>
  <si>
    <t>6</t>
  </si>
  <si>
    <t>4</t>
  </si>
  <si>
    <t>виробництво тролейбусів з автономним ходом (7 од.)</t>
  </si>
  <si>
    <t xml:space="preserve">капітальний ремонт, усього, у тому числі: </t>
  </si>
  <si>
    <t>- капітальний ремонт контактної мережі тролейбуса по вул.Коцюбинського (2,09км)</t>
  </si>
  <si>
    <t>Відсотки одержані від депозиту</t>
  </si>
  <si>
    <t>АБ "Укргазбанк" (відсотки та комісія)</t>
  </si>
  <si>
    <t>Т.в.о.генерального директора КП "ВТК"</t>
  </si>
  <si>
    <t>Комунальне підприємство "Вінницька транспортна компанія"</t>
  </si>
  <si>
    <t xml:space="preserve">Комунальне підприємство   </t>
  </si>
  <si>
    <t>м. Вінниця</t>
  </si>
  <si>
    <t>07094 Вінницька міська рада</t>
  </si>
  <si>
    <t>міський електро- та автотранспорт</t>
  </si>
  <si>
    <t>32 Комунальна</t>
  </si>
  <si>
    <t>21036, м. Вінниця, вул. Хмельницьке шосе, буд. 29</t>
  </si>
  <si>
    <t>61-16-93, 55-09-20</t>
  </si>
  <si>
    <t>ПРО ВИКОНАННЯ ПОКАЗНИКІВ ФІНАНСОВОГО ПЛАНУ  КП "ВІННИЦЬКА ТРАНСПОРТНА КОМПАНІЯ"</t>
  </si>
  <si>
    <t>КП "ВІННИЦЬКА ТРАНСПОРТНА КОМПАНІЯ"</t>
  </si>
  <si>
    <t>- безоплатно отримані активи</t>
  </si>
  <si>
    <t>Інші цілі (націнка на продукти в їдальнях КП "ВТК")</t>
  </si>
  <si>
    <t>модернізація системи АСКОЕ</t>
  </si>
  <si>
    <t>- ТП 6/2</t>
  </si>
  <si>
    <t>- система пожежної сигналізації (Сабарів)</t>
  </si>
  <si>
    <t>- ТП 6 електрообладнання</t>
  </si>
  <si>
    <t>- ТП 6/2 електрообладнання</t>
  </si>
  <si>
    <t>- ТП 6</t>
  </si>
  <si>
    <t>DAWOO LANOS АВ 5532 ВВ</t>
  </si>
  <si>
    <t>ВАЗ 21-07 АВ 4896 СТ</t>
  </si>
  <si>
    <t>ZAZ VIDA АВ 55-57 ВХ</t>
  </si>
  <si>
    <t>ZAZ VIDA АВ 58-32 CМ</t>
  </si>
  <si>
    <t xml:space="preserve">Нісан Ліф (електро) </t>
  </si>
  <si>
    <t>Службові поїздки, відрядження</t>
  </si>
  <si>
    <t>придбання бувших у використанні тролейбусів  іноземного виробництва 20шт.</t>
  </si>
  <si>
    <t>- придбання бувших у використанні тролейбусів  іноземного виробництва 20шт.</t>
  </si>
  <si>
    <t>- виробництво тролейбусів з автономним ходом (7 од.)</t>
  </si>
  <si>
    <t>Дохід від реалізації проїзних документів</t>
  </si>
  <si>
    <t>Дохід від реалізації послуг</t>
  </si>
  <si>
    <t>Дохід від реалізації в їдальні № 118</t>
  </si>
  <si>
    <t>Дохід від реалізації в їдальні № 219</t>
  </si>
  <si>
    <t>Дохід від реалізації послуг житла</t>
  </si>
  <si>
    <t>Дохід від реалізації послуг по базі відпочинку</t>
  </si>
  <si>
    <t xml:space="preserve"> АБ "Укргазбанк"</t>
  </si>
  <si>
    <t>МКП "Вінницький фонд муніципальних інвестицій</t>
  </si>
  <si>
    <t>фінансовий лізинг</t>
  </si>
  <si>
    <t>кредит (позика)</t>
  </si>
  <si>
    <t>комісія</t>
  </si>
  <si>
    <t>відсоткова ставка: 7%</t>
  </si>
  <si>
    <t>відсоткова ставка: 12,5%</t>
  </si>
  <si>
    <t>11.12.2018/10.12.2023</t>
  </si>
  <si>
    <t>05.03.2019/04.03.2024</t>
  </si>
  <si>
    <t>02.10.2018/01.10.2021</t>
  </si>
  <si>
    <t>12.12.2018/11.12.2021</t>
  </si>
  <si>
    <t>23.02.2021/22.02.2026</t>
  </si>
  <si>
    <t>23.12.2021/22.12.2022</t>
  </si>
  <si>
    <t>29.06.2021/28.06.2026</t>
  </si>
  <si>
    <t>не передбачає</t>
  </si>
  <si>
    <t>порука керівника</t>
  </si>
  <si>
    <t>6 тролейбусів з автономним ходом, 8 автобусів, 5 трамваїв VinWay</t>
  </si>
  <si>
    <t>АБ "Укргазбанк" фінансовий лізинг дог.194/2021/ВОД-МСБ-ФЛ</t>
  </si>
  <si>
    <t>АБ "Укргазбанк" договір №1112/2021/ВОД-МСБ</t>
  </si>
  <si>
    <t>фінансовий лізинг дог.7</t>
  </si>
  <si>
    <t>фінансовий лізинг дог.1</t>
  </si>
  <si>
    <t>придбання (виготовленняі) основних засобів усього, у тому числі:</t>
  </si>
  <si>
    <t>модернізація, модифікація (добудова, дообладнання, реконструкція) основних засобів усього, у тому числі:</t>
  </si>
  <si>
    <t>капітальний ремонт усього, у тому числі:</t>
  </si>
  <si>
    <t>Картсервіс</t>
  </si>
  <si>
    <t>- повернення фінансової допомоги</t>
  </si>
  <si>
    <t>- автомобіль Mercedes-Benz Sprinter</t>
  </si>
  <si>
    <t>- бомбосховище</t>
  </si>
  <si>
    <t>- генераторні установки</t>
  </si>
  <si>
    <t>- компьютер</t>
  </si>
  <si>
    <t>- сканер та модуль для грузового авто</t>
  </si>
  <si>
    <t>- токарно-гвинтовий станок</t>
  </si>
  <si>
    <t xml:space="preserve">- сканер та модуль для грузового авто </t>
  </si>
  <si>
    <t>Аналіз дохідної частини звіту</t>
  </si>
  <si>
    <t>Найменування показників</t>
  </si>
  <si>
    <t>Відхилення</t>
  </si>
  <si>
    <t>(+,-)</t>
  </si>
  <si>
    <t>%</t>
  </si>
  <si>
    <t>Усього доходів, у тому числі:</t>
  </si>
  <si>
    <t>Дохід від реалізації оборотних активів, від оприбуткування товарно-матеріальних цінностей</t>
  </si>
  <si>
    <t>Компенсація пільгового проїзду окремих категорій громадян МЕТ електротранспортом</t>
  </si>
  <si>
    <t>Компенсація пільгового проїзду окремих категорій громадян автобусом</t>
  </si>
  <si>
    <t>- на оплату фактично виконаних обсягів  пасажироперевезень міським електричним транспортом</t>
  </si>
  <si>
    <t>- на оплату фактично виконаних обсягів  пасажироперевезень автомобільним транспортом загального користування у звичайному режимі руху</t>
  </si>
  <si>
    <t>Аналіз витратної частини звіту</t>
  </si>
  <si>
    <t>Усього витрат, у тому числі:</t>
  </si>
  <si>
    <t>Структура та динаміка платежів до бюджетів всіх рівнів</t>
  </si>
  <si>
    <t>та державних цільових фондів</t>
  </si>
  <si>
    <t>Усього:</t>
  </si>
  <si>
    <t>Податок на додану вартість (ПДВ)</t>
  </si>
  <si>
    <t>Податок на доходи фізичних осіб</t>
  </si>
  <si>
    <t>Військовий збір</t>
  </si>
  <si>
    <t xml:space="preserve">Єдиний внесок на загальнообов҆язкове державне соціальне страхування </t>
  </si>
  <si>
    <t>Земельний податок</t>
  </si>
  <si>
    <t>Орендна плата</t>
  </si>
  <si>
    <t xml:space="preserve">Рентна плата за користування надрами </t>
  </si>
  <si>
    <t>Податок на прибуток підприємств (18%)</t>
  </si>
  <si>
    <t>Відрахування частини чистого прибутку (10%)</t>
  </si>
  <si>
    <t>Динаміка фінансових показників</t>
  </si>
  <si>
    <t>Валовий прибуток</t>
  </si>
  <si>
    <r>
      <t xml:space="preserve">Чистий фінансовий </t>
    </r>
    <r>
      <rPr>
        <sz val="12"/>
        <color theme="1"/>
        <rFont val="Times New Roman"/>
        <family val="1"/>
        <charset val="204"/>
      </rPr>
      <t>результат</t>
    </r>
    <r>
      <rPr>
        <sz val="12"/>
        <color rgb="FF000000"/>
        <rFont val="Times New Roman"/>
        <family val="1"/>
        <charset val="204"/>
      </rPr>
      <t>,              у тому числі:</t>
    </r>
  </si>
  <si>
    <t>прибуток</t>
  </si>
  <si>
    <t>Структура та динаміка чисельності, середньомісячної заробітної плати одного працівника та витрат на оплату праці</t>
  </si>
  <si>
    <t>План 2022 р.</t>
  </si>
  <si>
    <t>Середня кількість працівників,         у тому числі:</t>
  </si>
  <si>
    <t>Витрати на оплату праці, тис.грн,        у тому числі:</t>
  </si>
  <si>
    <t>Середньомісячні витрати на оплату праці одного працівника, грн,  у тому числі:</t>
  </si>
  <si>
    <t>Факт 2021 р.</t>
  </si>
  <si>
    <t>Факт 2022 р.</t>
  </si>
  <si>
    <t>факт 2022 р. до факту  2021 р.</t>
  </si>
  <si>
    <t>факт 2022 р. до плану  2022 р.</t>
  </si>
  <si>
    <t>факт 2022 р. до факту 2021 р.</t>
  </si>
  <si>
    <t>факт 2022 р. до плану 2022 р.</t>
  </si>
  <si>
    <t>- закупівля тролейбусів бувших у вживанні іноземного виробництва</t>
  </si>
  <si>
    <t>зарплата   2022 р</t>
  </si>
  <si>
    <t xml:space="preserve">по  табл. 6,1  </t>
  </si>
  <si>
    <t>по балансу стр.1600</t>
  </si>
  <si>
    <t>а де ці суми в балансі</t>
  </si>
  <si>
    <t>з ПДВ</t>
  </si>
  <si>
    <t>без ПДВ</t>
  </si>
  <si>
    <t>по 1.фінрезультатах  305148</t>
  </si>
  <si>
    <t>по звіту по статутному капіталу факт 2022 року бюджетні кошти</t>
  </si>
  <si>
    <t xml:space="preserve"> по звіту статутного капіталу</t>
  </si>
  <si>
    <t>____________________</t>
  </si>
  <si>
    <t>Т.в.о. генерального директора КП "ВТК"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</si>
</sst>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-* #,##0.00_₴_-;\-* #,##0.00_₴_-;_-* &quot;-&quot;??_₴_-;_-@_-"/>
    <numFmt numFmtId="165" formatCode="#,##0&quot;р.&quot;;[Red]\-#,##0&quot;р.&quot;"/>
    <numFmt numFmtId="166" formatCode="#,##0.00&quot;р.&quot;;\-#,##0.00&quot;р.&quot;"/>
    <numFmt numFmtId="167" formatCode="_-* #,##0.00_р_._-;\-* #,##0.00_р_._-;_-* &quot;-&quot;??_р_.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110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sz val="16"/>
      <color indexed="10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name val="Arial Cyr"/>
      <charset val="204"/>
    </font>
    <font>
      <i/>
      <sz val="14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6"/>
      <name val="Arial Cyr"/>
      <charset val="204"/>
    </font>
    <font>
      <u/>
      <sz val="16"/>
      <name val="Times New Roman"/>
      <family val="1"/>
      <charset val="204"/>
    </font>
    <font>
      <sz val="12"/>
      <name val="Arial Cyr"/>
      <charset val="204"/>
    </font>
    <font>
      <b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63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6"/>
      <color indexed="63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55"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2" fillId="2" borderId="0" applyNumberFormat="0" applyBorder="0" applyAlignment="0" applyProtection="0"/>
    <xf numFmtId="0" fontId="1" fillId="2" borderId="0" applyNumberFormat="0" applyBorder="0" applyAlignment="0" applyProtection="0"/>
    <xf numFmtId="0" fontId="32" fillId="3" borderId="0" applyNumberFormat="0" applyBorder="0" applyAlignment="0" applyProtection="0"/>
    <xf numFmtId="0" fontId="1" fillId="3" borderId="0" applyNumberFormat="0" applyBorder="0" applyAlignment="0" applyProtection="0"/>
    <xf numFmtId="0" fontId="32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33" fillId="12" borderId="0" applyNumberFormat="0" applyBorder="0" applyAlignment="0" applyProtection="0"/>
    <xf numFmtId="0" fontId="15" fillId="12" borderId="0" applyNumberFormat="0" applyBorder="0" applyAlignment="0" applyProtection="0"/>
    <xf numFmtId="0" fontId="33" fillId="9" borderId="0" applyNumberFormat="0" applyBorder="0" applyAlignment="0" applyProtection="0"/>
    <xf numFmtId="0" fontId="15" fillId="9" borderId="0" applyNumberFormat="0" applyBorder="0" applyAlignment="0" applyProtection="0"/>
    <xf numFmtId="0" fontId="33" fillId="10" borderId="0" applyNumberFormat="0" applyBorder="0" applyAlignment="0" applyProtection="0"/>
    <xf numFmtId="0" fontId="15" fillId="10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6" fillId="3" borderId="0" applyNumberFormat="0" applyBorder="0" applyAlignment="0" applyProtection="0"/>
    <xf numFmtId="0" fontId="18" fillId="20" borderId="1" applyNumberFormat="0" applyAlignment="0" applyProtection="0"/>
    <xf numFmtId="0" fontId="23" fillId="21" borderId="2" applyNumberFormat="0" applyAlignment="0" applyProtection="0"/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168" fontId="12" fillId="0" borderId="0" applyFont="0" applyFill="0" applyBorder="0" applyAlignment="0" applyProtection="0"/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0" fontId="27" fillId="0" borderId="0" applyNumberFormat="0" applyFill="0" applyBorder="0" applyAlignment="0" applyProtection="0"/>
    <xf numFmtId="171" fontId="35" fillId="0" borderId="0" applyAlignment="0">
      <alignment wrapText="1"/>
    </xf>
    <xf numFmtId="0" fontId="30" fillId="4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6" fillId="7" borderId="1" applyNumberFormat="0" applyAlignment="0" applyProtection="0"/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37" fillId="22" borderId="7">
      <alignment horizontal="left" vertical="center"/>
      <protection locked="0"/>
    </xf>
    <xf numFmtId="49" fontId="37" fillId="22" borderId="7">
      <alignment horizontal="left" vertical="center"/>
    </xf>
    <xf numFmtId="4" fontId="37" fillId="22" borderId="7">
      <alignment horizontal="right" vertical="center"/>
      <protection locked="0"/>
    </xf>
    <xf numFmtId="4" fontId="37" fillId="22" borderId="7">
      <alignment horizontal="right" vertical="center"/>
    </xf>
    <xf numFmtId="4" fontId="38" fillId="22" borderId="7">
      <alignment horizontal="right" vertical="center"/>
      <protection locked="0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9" fillId="22" borderId="3">
      <alignment horizontal="right" vertical="center"/>
      <protection locked="0"/>
    </xf>
    <xf numFmtId="4" fontId="39" fillId="22" borderId="3">
      <alignment horizontal="right" vertical="center"/>
    </xf>
    <xf numFmtId="4" fontId="41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4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4" fillId="22" borderId="3">
      <alignment horizontal="right" vertical="center"/>
    </xf>
    <xf numFmtId="4" fontId="38" fillId="22" borderId="3">
      <alignment horizontal="right" vertical="center"/>
      <protection locked="0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9" fontId="43" fillId="22" borderId="3">
      <alignment horizontal="left" vertical="center"/>
      <protection locked="0"/>
    </xf>
    <xf numFmtId="49" fontId="43" fillId="22" borderId="3">
      <alignment horizontal="left" vertical="center"/>
    </xf>
    <xf numFmtId="4" fontId="42" fillId="22" borderId="3">
      <alignment horizontal="right" vertical="center"/>
      <protection locked="0"/>
    </xf>
    <xf numFmtId="4" fontId="42" fillId="22" borderId="3">
      <alignment horizontal="right" vertical="center"/>
    </xf>
    <xf numFmtId="4" fontId="44" fillId="22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" fontId="46" fillId="0" borderId="3">
      <alignment horizontal="right" vertical="center"/>
      <protection locked="0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" fontId="47" fillId="0" borderId="3">
      <alignment horizontal="right" vertical="center"/>
      <protection locked="0"/>
    </xf>
    <xf numFmtId="4" fontId="47" fillId="0" borderId="3">
      <alignment horizontal="right" vertical="center"/>
    </xf>
    <xf numFmtId="49" fontId="45" fillId="0" borderId="3">
      <alignment horizontal="left" vertical="center"/>
      <protection locked="0"/>
    </xf>
    <xf numFmtId="49" fontId="46" fillId="0" borderId="3">
      <alignment horizontal="left" vertical="center"/>
      <protection locked="0"/>
    </xf>
    <xf numFmtId="4" fontId="45" fillId="0" borderId="3">
      <alignment horizontal="right" vertical="center"/>
      <protection locked="0"/>
    </xf>
    <xf numFmtId="0" fontId="28" fillId="0" borderId="8" applyNumberFormat="0" applyFill="0" applyAlignment="0" applyProtection="0"/>
    <xf numFmtId="0" fontId="25" fillId="23" borderId="0" applyNumberFormat="0" applyBorder="0" applyAlignment="0" applyProtection="0"/>
    <xf numFmtId="0" fontId="12" fillId="0" borderId="0"/>
    <xf numFmtId="0" fontId="12" fillId="0" borderId="0"/>
    <xf numFmtId="0" fontId="12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9" fillId="26" borderId="3">
      <alignment horizontal="right" vertical="center"/>
      <protection locked="0"/>
    </xf>
    <xf numFmtId="4" fontId="49" fillId="27" borderId="3">
      <alignment horizontal="right" vertical="center"/>
      <protection locked="0"/>
    </xf>
    <xf numFmtId="4" fontId="49" fillId="28" borderId="3">
      <alignment horizontal="right" vertical="center"/>
      <protection locked="0"/>
    </xf>
    <xf numFmtId="0" fontId="17" fillId="20" borderId="10" applyNumberFormat="0" applyAlignment="0" applyProtection="0"/>
    <xf numFmtId="49" fontId="34" fillId="0" borderId="3">
      <alignment horizontal="left" vertical="center" wrapText="1"/>
      <protection locked="0"/>
    </xf>
    <xf numFmtId="49" fontId="34" fillId="0" borderId="3">
      <alignment horizontal="left" vertical="center" wrapText="1"/>
      <protection locked="0"/>
    </xf>
    <xf numFmtId="0" fontId="24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33" fillId="16" borderId="0" applyNumberFormat="0" applyBorder="0" applyAlignment="0" applyProtection="0"/>
    <xf numFmtId="0" fontId="15" fillId="16" borderId="0" applyNumberFormat="0" applyBorder="0" applyAlignment="0" applyProtection="0"/>
    <xf numFmtId="0" fontId="33" fillId="17" borderId="0" applyNumberFormat="0" applyBorder="0" applyAlignment="0" applyProtection="0"/>
    <xf numFmtId="0" fontId="15" fillId="17" borderId="0" applyNumberFormat="0" applyBorder="0" applyAlignment="0" applyProtection="0"/>
    <xf numFmtId="0" fontId="33" fillId="18" borderId="0" applyNumberFormat="0" applyBorder="0" applyAlignment="0" applyProtection="0"/>
    <xf numFmtId="0" fontId="15" fillId="18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9" borderId="0" applyNumberFormat="0" applyBorder="0" applyAlignment="0" applyProtection="0"/>
    <xf numFmtId="0" fontId="15" fillId="19" borderId="0" applyNumberFormat="0" applyBorder="0" applyAlignment="0" applyProtection="0"/>
    <xf numFmtId="0" fontId="50" fillId="7" borderId="1" applyNumberFormat="0" applyAlignment="0" applyProtection="0"/>
    <xf numFmtId="0" fontId="16" fillId="7" borderId="1" applyNumberFormat="0" applyAlignment="0" applyProtection="0"/>
    <xf numFmtId="9" fontId="2" fillId="0" borderId="0" applyFont="0" applyFill="0" applyBorder="0" applyAlignment="0" applyProtection="0"/>
    <xf numFmtId="0" fontId="51" fillId="20" borderId="10" applyNumberFormat="0" applyAlignment="0" applyProtection="0"/>
    <xf numFmtId="0" fontId="17" fillId="20" borderId="10" applyNumberFormat="0" applyAlignment="0" applyProtection="0"/>
    <xf numFmtId="0" fontId="52" fillId="20" borderId="1" applyNumberFormat="0" applyAlignment="0" applyProtection="0"/>
    <xf numFmtId="0" fontId="18" fillId="20" borderId="1" applyNumberFormat="0" applyAlignment="0" applyProtection="0"/>
    <xf numFmtId="172" fontId="12" fillId="0" borderId="0" applyFont="0" applyFill="0" applyBorder="0" applyAlignment="0" applyProtection="0"/>
    <xf numFmtId="0" fontId="53" fillId="0" borderId="4" applyNumberFormat="0" applyFill="0" applyAlignment="0" applyProtection="0"/>
    <xf numFmtId="0" fontId="19" fillId="0" borderId="4" applyNumberFormat="0" applyFill="0" applyAlignment="0" applyProtection="0"/>
    <xf numFmtId="0" fontId="54" fillId="0" borderId="5" applyNumberFormat="0" applyFill="0" applyAlignment="0" applyProtection="0"/>
    <xf numFmtId="0" fontId="20" fillId="0" borderId="5" applyNumberFormat="0" applyFill="0" applyAlignment="0" applyProtection="0"/>
    <xf numFmtId="0" fontId="55" fillId="0" borderId="6" applyNumberFormat="0" applyFill="0" applyAlignment="0" applyProtection="0"/>
    <xf numFmtId="0" fontId="21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6" fillId="0" borderId="11" applyNumberFormat="0" applyFill="0" applyAlignment="0" applyProtection="0"/>
    <xf numFmtId="0" fontId="22" fillId="0" borderId="11" applyNumberFormat="0" applyFill="0" applyAlignment="0" applyProtection="0"/>
    <xf numFmtId="0" fontId="57" fillId="21" borderId="2" applyNumberFormat="0" applyAlignment="0" applyProtection="0"/>
    <xf numFmtId="0" fontId="23" fillId="21" borderId="2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23" borderId="0" applyNumberFormat="0" applyBorder="0" applyAlignment="0" applyProtection="0"/>
    <xf numFmtId="0" fontId="25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12" fillId="0" borderId="0"/>
    <xf numFmtId="0" fontId="2" fillId="0" borderId="0"/>
    <xf numFmtId="0" fontId="12" fillId="0" borderId="0"/>
    <xf numFmtId="0" fontId="12" fillId="0" borderId="0" applyNumberFormat="0" applyFont="0" applyFill="0" applyBorder="0" applyAlignment="0" applyProtection="0">
      <alignment vertical="top"/>
    </xf>
    <xf numFmtId="0" fontId="12" fillId="0" borderId="0" applyNumberFormat="0" applyFont="0" applyFill="0" applyBorder="0" applyAlignment="0" applyProtection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59" fillId="3" borderId="0" applyNumberFormat="0" applyBorder="0" applyAlignment="0" applyProtection="0"/>
    <xf numFmtId="0" fontId="26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1" fillId="25" borderId="9" applyNumberFormat="0" applyFont="0" applyAlignment="0" applyProtection="0"/>
    <xf numFmtId="0" fontId="12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8" applyNumberFormat="0" applyFill="0" applyAlignment="0" applyProtection="0"/>
    <xf numFmtId="0" fontId="28" fillId="0" borderId="8" applyNumberFormat="0" applyFill="0" applyAlignment="0" applyProtection="0"/>
    <xf numFmtId="0" fontId="3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3" fontId="65" fillId="0" borderId="0" applyFont="0" applyFill="0" applyBorder="0" applyAlignment="0" applyProtection="0"/>
    <xf numFmtId="174" fontId="6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6" fillId="4" borderId="0" applyNumberFormat="0" applyBorder="0" applyAlignment="0" applyProtection="0"/>
    <xf numFmtId="0" fontId="30" fillId="4" borderId="0" applyNumberFormat="0" applyBorder="0" applyAlignment="0" applyProtection="0"/>
    <xf numFmtId="176" fontId="67" fillId="22" borderId="12" applyFill="0" applyBorder="0">
      <alignment horizontal="center" vertical="center" wrapText="1"/>
      <protection locked="0"/>
    </xf>
    <xf numFmtId="171" fontId="68" fillId="0" borderId="0">
      <alignment wrapText="1"/>
    </xf>
    <xf numFmtId="171" fontId="35" fillId="0" borderId="0">
      <alignment wrapText="1"/>
    </xf>
    <xf numFmtId="0" fontId="2" fillId="0" borderId="0"/>
  </cellStyleXfs>
  <cellXfs count="716">
    <xf numFmtId="0" fontId="0" fillId="0" borderId="0" xfId="0"/>
    <xf numFmtId="0" fontId="5" fillId="0" borderId="3" xfId="0" applyFont="1" applyBorder="1" applyAlignment="1">
      <alignment horizontal="center" vertical="center" wrapText="1"/>
    </xf>
    <xf numFmtId="0" fontId="11" fillId="0" borderId="0" xfId="0" applyFont="1"/>
    <xf numFmtId="0" fontId="5" fillId="0" borderId="0" xfId="0" applyFont="1"/>
    <xf numFmtId="0" fontId="69" fillId="0" borderId="0" xfId="0" applyFont="1"/>
    <xf numFmtId="0" fontId="5" fillId="29" borderId="0" xfId="0" applyFont="1" applyFill="1" applyAlignment="1">
      <alignment horizontal="left" vertical="center" wrapText="1"/>
    </xf>
    <xf numFmtId="0" fontId="5" fillId="29" borderId="3" xfId="246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center" vertical="center"/>
    </xf>
    <xf numFmtId="0" fontId="5" fillId="29" borderId="0" xfId="246" applyFont="1" applyFill="1" applyAlignment="1">
      <alignment horizontal="left" vertical="center" wrapText="1"/>
    </xf>
    <xf numFmtId="0" fontId="5" fillId="29" borderId="0" xfId="246" applyFont="1" applyFill="1" applyAlignment="1">
      <alignment horizontal="center" vertical="center"/>
    </xf>
    <xf numFmtId="0" fontId="5" fillId="29" borderId="0" xfId="246" applyFont="1" applyFill="1" applyAlignment="1">
      <alignment vertical="center" wrapText="1"/>
    </xf>
    <xf numFmtId="0" fontId="5" fillId="29" borderId="3" xfId="238" applyFont="1" applyFill="1" applyBorder="1" applyAlignment="1">
      <alignment horizontal="center" vertical="center"/>
    </xf>
    <xf numFmtId="0" fontId="4" fillId="29" borderId="3" xfId="238" applyFont="1" applyFill="1" applyBorder="1" applyAlignment="1">
      <alignment horizontal="left" vertical="center"/>
    </xf>
    <xf numFmtId="0" fontId="5" fillId="29" borderId="3" xfId="238" applyFont="1" applyFill="1" applyBorder="1" applyAlignment="1">
      <alignment horizontal="center" vertical="center" wrapText="1"/>
    </xf>
    <xf numFmtId="0" fontId="5" fillId="29" borderId="3" xfId="238" applyFont="1" applyFill="1" applyBorder="1" applyAlignment="1">
      <alignment horizontal="left" vertical="center" wrapText="1"/>
    </xf>
    <xf numFmtId="49" fontId="5" fillId="29" borderId="3" xfId="238" applyNumberFormat="1" applyFont="1" applyFill="1" applyBorder="1" applyAlignment="1">
      <alignment horizontal="left" vertical="center" wrapText="1"/>
    </xf>
    <xf numFmtId="0" fontId="11" fillId="29" borderId="0" xfId="0" applyFont="1" applyFill="1"/>
    <xf numFmtId="3" fontId="5" fillId="29" borderId="0" xfId="0" applyNumberFormat="1" applyFont="1" applyFill="1" applyAlignment="1">
      <alignment horizontal="center" vertical="center" wrapText="1"/>
    </xf>
    <xf numFmtId="0" fontId="5" fillId="29" borderId="0" xfId="0" applyFont="1" applyFill="1" applyAlignment="1">
      <alignment horizontal="left" vertical="center" wrapText="1" shrinkToFit="1"/>
    </xf>
    <xf numFmtId="0" fontId="9" fillId="29" borderId="0" xfId="0" applyFont="1" applyFill="1" applyAlignment="1">
      <alignment vertical="center"/>
    </xf>
    <xf numFmtId="0" fontId="7" fillId="29" borderId="0" xfId="0" applyFont="1" applyFill="1" applyAlignment="1">
      <alignment horizontal="center" vertical="center"/>
    </xf>
    <xf numFmtId="0" fontId="5" fillId="29" borderId="19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horizontal="right" vertical="center"/>
    </xf>
    <xf numFmtId="1" fontId="5" fillId="29" borderId="0" xfId="0" applyNumberFormat="1" applyFont="1" applyFill="1" applyAlignment="1">
      <alignment horizontal="center" vertical="center"/>
    </xf>
    <xf numFmtId="0" fontId="4" fillId="29" borderId="0" xfId="0" applyFont="1" applyFill="1" applyAlignment="1">
      <alignment vertical="center"/>
    </xf>
    <xf numFmtId="0" fontId="4" fillId="29" borderId="0" xfId="0" applyFont="1" applyFill="1" applyAlignment="1">
      <alignment horizontal="right" vertical="center"/>
    </xf>
    <xf numFmtId="0" fontId="8" fillId="29" borderId="0" xfId="0" applyFont="1" applyFill="1" applyAlignment="1">
      <alignment vertical="center"/>
    </xf>
    <xf numFmtId="170" fontId="5" fillId="29" borderId="0" xfId="0" applyNumberFormat="1" applyFont="1" applyFill="1" applyAlignment="1">
      <alignment vertical="center"/>
    </xf>
    <xf numFmtId="3" fontId="5" fillId="29" borderId="18" xfId="0" applyNumberFormat="1" applyFont="1" applyFill="1" applyBorder="1" applyAlignment="1">
      <alignment vertical="center" wrapText="1"/>
    </xf>
    <xf numFmtId="169" fontId="4" fillId="29" borderId="0" xfId="0" applyNumberFormat="1" applyFont="1" applyFill="1" applyAlignment="1">
      <alignment horizontal="right" vertical="center" wrapText="1"/>
    </xf>
    <xf numFmtId="169" fontId="4" fillId="29" borderId="0" xfId="0" applyNumberFormat="1" applyFont="1" applyFill="1" applyAlignment="1">
      <alignment horizontal="center" vertical="center" wrapText="1"/>
    </xf>
    <xf numFmtId="170" fontId="4" fillId="29" borderId="0" xfId="0" applyNumberFormat="1" applyFont="1" applyFill="1" applyAlignment="1">
      <alignment horizontal="center" vertical="center" wrapText="1"/>
    </xf>
    <xf numFmtId="170" fontId="4" fillId="29" borderId="0" xfId="0" applyNumberFormat="1" applyFont="1" applyFill="1" applyAlignment="1">
      <alignment horizontal="center" vertical="center"/>
    </xf>
    <xf numFmtId="170" fontId="4" fillId="29" borderId="0" xfId="0" applyNumberFormat="1" applyFont="1" applyFill="1" applyAlignment="1">
      <alignment vertical="center"/>
    </xf>
    <xf numFmtId="0" fontId="4" fillId="29" borderId="0" xfId="0" applyFont="1" applyFill="1" applyAlignment="1">
      <alignment horizontal="left" vertical="center"/>
    </xf>
    <xf numFmtId="0" fontId="14" fillId="29" borderId="0" xfId="0" applyFont="1" applyFill="1" applyAlignment="1">
      <alignment vertical="center"/>
    </xf>
    <xf numFmtId="0" fontId="14" fillId="29" borderId="0" xfId="0" applyFont="1" applyFill="1"/>
    <xf numFmtId="0" fontId="14" fillId="29" borderId="0" xfId="0" applyFont="1" applyFill="1" applyAlignment="1">
      <alignment horizontal="center" vertical="center"/>
    </xf>
    <xf numFmtId="0" fontId="5" fillId="29" borderId="0" xfId="0" applyFont="1" applyFill="1" applyAlignment="1">
      <alignment vertical="center" wrapText="1" shrinkToFit="1"/>
    </xf>
    <xf numFmtId="0" fontId="6" fillId="29" borderId="0" xfId="0" applyFont="1" applyFill="1" applyAlignment="1">
      <alignment vertical="center"/>
    </xf>
    <xf numFmtId="0" fontId="0" fillId="29" borderId="0" xfId="0" applyFill="1"/>
    <xf numFmtId="0" fontId="4" fillId="29" borderId="3" xfId="246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73" fillId="29" borderId="3" xfId="0" quotePrefix="1" applyFont="1" applyFill="1" applyBorder="1" applyAlignment="1">
      <alignment horizontal="center" vertical="center"/>
    </xf>
    <xf numFmtId="173" fontId="73" fillId="29" borderId="3" xfId="0" applyNumberFormat="1" applyFont="1" applyFill="1" applyBorder="1" applyAlignment="1">
      <alignment horizontal="center" vertical="center" wrapText="1"/>
    </xf>
    <xf numFmtId="49" fontId="73" fillId="29" borderId="3" xfId="0" quotePrefix="1" applyNumberFormat="1" applyFont="1" applyFill="1" applyBorder="1" applyAlignment="1">
      <alignment horizontal="left" vertical="center" wrapText="1"/>
    </xf>
    <xf numFmtId="0" fontId="78" fillId="29" borderId="3" xfId="0" quotePrefix="1" applyFont="1" applyFill="1" applyBorder="1" applyAlignment="1">
      <alignment horizontal="center" vertical="center"/>
    </xf>
    <xf numFmtId="173" fontId="78" fillId="29" borderId="3" xfId="0" applyNumberFormat="1" applyFont="1" applyFill="1" applyBorder="1" applyAlignment="1">
      <alignment horizontal="center" vertical="center" wrapText="1"/>
    </xf>
    <xf numFmtId="49" fontId="78" fillId="29" borderId="3" xfId="0" quotePrefix="1" applyNumberFormat="1" applyFont="1" applyFill="1" applyBorder="1" applyAlignment="1">
      <alignment horizontal="left" vertical="center" wrapText="1"/>
    </xf>
    <xf numFmtId="0" fontId="73" fillId="29" borderId="0" xfId="0" applyFont="1" applyFill="1" applyAlignment="1">
      <alignment horizontal="left" vertical="center" wrapText="1"/>
    </xf>
    <xf numFmtId="0" fontId="73" fillId="29" borderId="0" xfId="0" quotePrefix="1" applyFont="1" applyFill="1" applyAlignment="1">
      <alignment horizontal="center"/>
    </xf>
    <xf numFmtId="0" fontId="73" fillId="0" borderId="0" xfId="0" applyFont="1" applyAlignment="1">
      <alignment horizontal="right" vertical="center"/>
    </xf>
    <xf numFmtId="0" fontId="78" fillId="29" borderId="19" xfId="0" applyFont="1" applyFill="1" applyBorder="1" applyAlignment="1">
      <alignment horizontal="left" vertical="center" wrapText="1"/>
    </xf>
    <xf numFmtId="0" fontId="74" fillId="29" borderId="15" xfId="246" applyFont="1" applyFill="1" applyBorder="1" applyAlignment="1">
      <alignment horizontal="left" vertical="center" wrapText="1"/>
    </xf>
    <xf numFmtId="0" fontId="74" fillId="29" borderId="19" xfId="0" applyFont="1" applyFill="1" applyBorder="1" applyAlignment="1">
      <alignment horizontal="left" vertical="center" wrapText="1"/>
    </xf>
    <xf numFmtId="0" fontId="73" fillId="29" borderId="17" xfId="246" applyFont="1" applyFill="1" applyBorder="1" applyAlignment="1">
      <alignment horizontal="left" vertical="center" wrapText="1"/>
    </xf>
    <xf numFmtId="0" fontId="73" fillId="29" borderId="16" xfId="246" applyFont="1" applyFill="1" applyBorder="1" applyAlignment="1">
      <alignment horizontal="left" vertical="center" wrapText="1"/>
    </xf>
    <xf numFmtId="0" fontId="73" fillId="29" borderId="19" xfId="0" applyFont="1" applyFill="1" applyBorder="1" applyAlignment="1">
      <alignment horizontal="left" vertical="center" wrapText="1"/>
    </xf>
    <xf numFmtId="0" fontId="73" fillId="29" borderId="19" xfId="0" quotePrefix="1" applyFont="1" applyFill="1" applyBorder="1" applyAlignment="1">
      <alignment horizontal="center" vertical="center"/>
    </xf>
    <xf numFmtId="0" fontId="78" fillId="29" borderId="19" xfId="0" quotePrefix="1" applyFont="1" applyFill="1" applyBorder="1" applyAlignment="1">
      <alignment horizontal="center" vertical="center"/>
    </xf>
    <xf numFmtId="0" fontId="78" fillId="29" borderId="0" xfId="0" applyFont="1" applyFill="1" applyAlignment="1">
      <alignment vertical="center"/>
    </xf>
    <xf numFmtId="0" fontId="73" fillId="29" borderId="0" xfId="0" quotePrefix="1" applyFont="1" applyFill="1" applyAlignment="1">
      <alignment horizontal="center" vertical="center"/>
    </xf>
    <xf numFmtId="0" fontId="78" fillId="29" borderId="3" xfId="0" applyFont="1" applyFill="1" applyBorder="1" applyAlignment="1">
      <alignment horizontal="center" vertical="center"/>
    </xf>
    <xf numFmtId="0" fontId="78" fillId="29" borderId="0" xfId="0" applyFont="1" applyFill="1" applyAlignment="1">
      <alignment horizontal="center" vertical="center"/>
    </xf>
    <xf numFmtId="0" fontId="78" fillId="0" borderId="0" xfId="0" applyFont="1"/>
    <xf numFmtId="0" fontId="73" fillId="29" borderId="3" xfId="238" applyFont="1" applyFill="1" applyBorder="1" applyAlignment="1">
      <alignment horizontal="left" vertical="center"/>
    </xf>
    <xf numFmtId="0" fontId="78" fillId="29" borderId="0" xfId="0" applyFont="1" applyFill="1" applyAlignment="1">
      <alignment horizontal="left" vertical="center" wrapText="1"/>
    </xf>
    <xf numFmtId="3" fontId="78" fillId="29" borderId="0" xfId="0" applyNumberFormat="1" applyFont="1" applyFill="1" applyAlignment="1">
      <alignment horizontal="center" vertical="center" wrapText="1"/>
    </xf>
    <xf numFmtId="0" fontId="78" fillId="29" borderId="0" xfId="0" applyFont="1" applyFill="1" applyAlignment="1">
      <alignment horizontal="left" vertical="center" wrapText="1" shrinkToFit="1"/>
    </xf>
    <xf numFmtId="0" fontId="76" fillId="29" borderId="0" xfId="0" applyFont="1" applyFill="1" applyAlignment="1">
      <alignment horizontal="left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/>
    </xf>
    <xf numFmtId="0" fontId="73" fillId="29" borderId="0" xfId="0" applyFont="1" applyFill="1" applyAlignment="1">
      <alignment horizontal="left" vertical="center"/>
    </xf>
    <xf numFmtId="0" fontId="74" fillId="29" borderId="0" xfId="0" applyFont="1" applyFill="1" applyAlignment="1">
      <alignment horizontal="left" vertical="center"/>
    </xf>
    <xf numFmtId="0" fontId="78" fillId="29" borderId="3" xfId="0" applyFont="1" applyFill="1" applyBorder="1" applyAlignment="1">
      <alignment horizontal="center" vertical="center" wrapText="1" shrinkToFit="1"/>
    </xf>
    <xf numFmtId="0" fontId="78" fillId="29" borderId="13" xfId="0" applyFont="1" applyFill="1" applyBorder="1" applyAlignment="1">
      <alignment vertical="center"/>
    </xf>
    <xf numFmtId="0" fontId="73" fillId="29" borderId="0" xfId="0" applyFont="1" applyFill="1" applyAlignment="1">
      <alignment horizontal="right" vertical="center"/>
    </xf>
    <xf numFmtId="169" fontId="73" fillId="29" borderId="0" xfId="0" applyNumberFormat="1" applyFont="1" applyFill="1" applyAlignment="1">
      <alignment horizontal="right" vertical="center"/>
    </xf>
    <xf numFmtId="0" fontId="80" fillId="29" borderId="0" xfId="0" applyFont="1" applyFill="1" applyAlignment="1">
      <alignment vertical="center"/>
    </xf>
    <xf numFmtId="0" fontId="78" fillId="29" borderId="3" xfId="0" applyFont="1" applyFill="1" applyBorder="1"/>
    <xf numFmtId="0" fontId="76" fillId="29" borderId="0" xfId="0" applyFont="1" applyFill="1" applyAlignment="1">
      <alignment horizontal="center" vertical="center"/>
    </xf>
    <xf numFmtId="173" fontId="76" fillId="29" borderId="0" xfId="0" applyNumberFormat="1" applyFont="1" applyFill="1" applyAlignment="1">
      <alignment horizontal="center" vertical="center" wrapText="1"/>
    </xf>
    <xf numFmtId="169" fontId="76" fillId="29" borderId="0" xfId="207" applyNumberFormat="1" applyFont="1" applyFill="1" applyBorder="1" applyAlignment="1">
      <alignment horizontal="right" vertical="center" wrapText="1"/>
    </xf>
    <xf numFmtId="179" fontId="5" fillId="29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vertical="center" wrapText="1"/>
    </xf>
    <xf numFmtId="0" fontId="73" fillId="29" borderId="3" xfId="0" applyFont="1" applyFill="1" applyBorder="1" applyAlignment="1">
      <alignment horizontal="center" vertical="center" wrapText="1"/>
    </xf>
    <xf numFmtId="179" fontId="78" fillId="29" borderId="3" xfId="0" applyNumberFormat="1" applyFont="1" applyFill="1" applyBorder="1" applyAlignment="1">
      <alignment horizontal="center" vertical="center" wrapText="1"/>
    </xf>
    <xf numFmtId="0" fontId="83" fillId="29" borderId="3" xfId="182" applyFont="1" applyFill="1" applyBorder="1" applyAlignment="1">
      <alignment horizontal="left" vertical="center" wrapText="1"/>
      <protection locked="0"/>
    </xf>
    <xf numFmtId="0" fontId="84" fillId="29" borderId="3" xfId="0" applyFont="1" applyFill="1" applyBorder="1" applyAlignment="1">
      <alignment horizontal="center" vertical="center" wrapText="1"/>
    </xf>
    <xf numFmtId="179" fontId="83" fillId="29" borderId="3" xfId="0" applyNumberFormat="1" applyFont="1" applyFill="1" applyBorder="1" applyAlignment="1">
      <alignment horizontal="center" vertical="center" wrapText="1"/>
    </xf>
    <xf numFmtId="0" fontId="83" fillId="29" borderId="3" xfId="0" applyFont="1" applyFill="1" applyBorder="1" applyAlignment="1" applyProtection="1">
      <alignment horizontal="left" vertical="center" wrapText="1"/>
      <protection locked="0"/>
    </xf>
    <xf numFmtId="0" fontId="84" fillId="29" borderId="3" xfId="246" applyFont="1" applyFill="1" applyBorder="1" applyAlignment="1">
      <alignment horizontal="left" vertical="center" wrapText="1"/>
    </xf>
    <xf numFmtId="0" fontId="84" fillId="29" borderId="3" xfId="0" applyFont="1" applyFill="1" applyBorder="1" applyAlignment="1">
      <alignment horizontal="center" vertical="center"/>
    </xf>
    <xf numFmtId="179" fontId="84" fillId="29" borderId="3" xfId="0" applyNumberFormat="1" applyFont="1" applyFill="1" applyBorder="1" applyAlignment="1">
      <alignment horizontal="center" vertical="center" wrapText="1"/>
    </xf>
    <xf numFmtId="0" fontId="84" fillId="29" borderId="3" xfId="246" applyFont="1" applyFill="1" applyBorder="1" applyAlignment="1">
      <alignment horizontal="center" vertical="center"/>
    </xf>
    <xf numFmtId="0" fontId="83" fillId="29" borderId="19" xfId="0" applyFont="1" applyFill="1" applyBorder="1" applyAlignment="1" applyProtection="1">
      <alignment horizontal="left" vertical="center" wrapText="1"/>
      <protection locked="0"/>
    </xf>
    <xf numFmtId="0" fontId="84" fillId="29" borderId="3" xfId="0" quotePrefix="1" applyFont="1" applyFill="1" applyBorder="1" applyAlignment="1">
      <alignment horizontal="center" vertical="center"/>
    </xf>
    <xf numFmtId="0" fontId="84" fillId="29" borderId="3" xfId="0" applyFont="1" applyFill="1" applyBorder="1" applyAlignment="1" applyProtection="1">
      <alignment horizontal="left" vertical="center" wrapText="1"/>
      <protection locked="0"/>
    </xf>
    <xf numFmtId="0" fontId="84" fillId="29" borderId="14" xfId="0" quotePrefix="1" applyFont="1" applyFill="1" applyBorder="1" applyAlignment="1">
      <alignment horizontal="center" vertical="center"/>
    </xf>
    <xf numFmtId="49" fontId="84" fillId="29" borderId="3" xfId="0" applyNumberFormat="1" applyFont="1" applyFill="1" applyBorder="1" applyAlignment="1">
      <alignment horizontal="center" vertical="center"/>
    </xf>
    <xf numFmtId="179" fontId="4" fillId="29" borderId="3" xfId="0" applyNumberFormat="1" applyFont="1" applyFill="1" applyBorder="1" applyAlignment="1">
      <alignment horizontal="center" vertical="center" wrapText="1"/>
    </xf>
    <xf numFmtId="0" fontId="5" fillId="29" borderId="3" xfId="0" quotePrefix="1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center" vertical="center"/>
    </xf>
    <xf numFmtId="179" fontId="78" fillId="29" borderId="19" xfId="0" applyNumberFormat="1" applyFont="1" applyFill="1" applyBorder="1" applyAlignment="1">
      <alignment horizontal="right" vertical="center" wrapText="1"/>
    </xf>
    <xf numFmtId="179" fontId="73" fillId="29" borderId="19" xfId="0" applyNumberFormat="1" applyFont="1" applyFill="1" applyBorder="1" applyAlignment="1">
      <alignment horizontal="right" vertical="center" wrapText="1"/>
    </xf>
    <xf numFmtId="179" fontId="78" fillId="29" borderId="3" xfId="0" applyNumberFormat="1" applyFont="1" applyFill="1" applyBorder="1" applyAlignment="1">
      <alignment horizontal="right" vertical="center" wrapText="1"/>
    </xf>
    <xf numFmtId="0" fontId="5" fillId="29" borderId="0" xfId="0" applyFont="1" applyFill="1" applyAlignment="1">
      <alignment horizontal="center" vertical="center" wrapText="1"/>
    </xf>
    <xf numFmtId="0" fontId="9" fillId="29" borderId="3" xfId="0" applyFont="1" applyFill="1" applyBorder="1" applyAlignment="1">
      <alignment horizontal="center" vertical="center" wrapText="1"/>
    </xf>
    <xf numFmtId="0" fontId="9" fillId="29" borderId="3" xfId="0" applyFont="1" applyFill="1" applyBorder="1" applyAlignment="1">
      <alignment horizontal="center" vertical="center" wrapText="1" shrinkToFit="1"/>
    </xf>
    <xf numFmtId="0" fontId="5" fillId="29" borderId="14" xfId="0" applyFont="1" applyFill="1" applyBorder="1" applyAlignment="1">
      <alignment horizontal="center" vertical="center"/>
    </xf>
    <xf numFmtId="0" fontId="5" fillId="29" borderId="14" xfId="0" applyFont="1" applyFill="1" applyBorder="1" applyAlignment="1">
      <alignment horizontal="center" vertical="center" wrapText="1"/>
    </xf>
    <xf numFmtId="0" fontId="5" fillId="29" borderId="14" xfId="0" applyFont="1" applyFill="1" applyBorder="1" applyAlignment="1">
      <alignment horizontal="center" vertical="center" wrapText="1" shrinkToFit="1"/>
    </xf>
    <xf numFmtId="49" fontId="78" fillId="29" borderId="3" xfId="0" applyNumberFormat="1" applyFont="1" applyFill="1" applyBorder="1" applyAlignment="1">
      <alignment horizontal="left" vertical="center" wrapText="1"/>
    </xf>
    <xf numFmtId="0" fontId="78" fillId="29" borderId="14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horizontal="left" vertical="center"/>
    </xf>
    <xf numFmtId="0" fontId="5" fillId="29" borderId="0" xfId="0" applyFont="1" applyFill="1" applyAlignment="1">
      <alignment vertical="center"/>
    </xf>
    <xf numFmtId="170" fontId="5" fillId="29" borderId="0" xfId="0" applyNumberFormat="1" applyFont="1" applyFill="1" applyAlignment="1">
      <alignment horizontal="center" vertical="center" wrapText="1"/>
    </xf>
    <xf numFmtId="170" fontId="78" fillId="29" borderId="0" xfId="0" applyNumberFormat="1" applyFont="1" applyFill="1" applyAlignment="1">
      <alignment horizontal="center" vertical="center" wrapText="1"/>
    </xf>
    <xf numFmtId="0" fontId="4" fillId="29" borderId="0" xfId="0" applyFont="1" applyFill="1" applyAlignment="1">
      <alignment horizontal="center" vertical="center"/>
    </xf>
    <xf numFmtId="0" fontId="78" fillId="29" borderId="15" xfId="0" applyFont="1" applyFill="1" applyBorder="1" applyAlignment="1">
      <alignment vertical="center"/>
    </xf>
    <xf numFmtId="0" fontId="78" fillId="29" borderId="19" xfId="182" applyFont="1" applyFill="1" applyBorder="1" applyAlignment="1">
      <alignment horizontal="left" vertical="center" wrapText="1"/>
      <protection locked="0"/>
    </xf>
    <xf numFmtId="0" fontId="78" fillId="29" borderId="19" xfId="0" applyFont="1" applyFill="1" applyBorder="1" applyAlignment="1">
      <alignment horizontal="center" vertical="center" wrapText="1"/>
    </xf>
    <xf numFmtId="0" fontId="4" fillId="29" borderId="0" xfId="0" applyFont="1" applyFill="1" applyAlignment="1" applyProtection="1">
      <alignment horizontal="left" vertical="center"/>
      <protection locked="0"/>
    </xf>
    <xf numFmtId="0" fontId="5" fillId="29" borderId="0" xfId="0" applyFont="1" applyFill="1" applyAlignment="1">
      <alignment vertical="center" wrapText="1"/>
    </xf>
    <xf numFmtId="0" fontId="5" fillId="29" borderId="0" xfId="0" applyFont="1" applyFill="1" applyAlignment="1">
      <alignment vertical="top"/>
    </xf>
    <xf numFmtId="0" fontId="78" fillId="29" borderId="17" xfId="0" applyFont="1" applyFill="1" applyBorder="1" applyAlignment="1">
      <alignment vertical="center" wrapText="1"/>
    </xf>
    <xf numFmtId="0" fontId="84" fillId="29" borderId="0" xfId="0" applyFont="1" applyFill="1" applyAlignment="1" applyProtection="1">
      <alignment horizontal="left" vertical="center" wrapText="1"/>
      <protection locked="0"/>
    </xf>
    <xf numFmtId="0" fontId="84" fillId="29" borderId="0" xfId="0" quotePrefix="1" applyFont="1" applyFill="1" applyAlignment="1">
      <alignment horizontal="center" vertical="center"/>
    </xf>
    <xf numFmtId="173" fontId="84" fillId="29" borderId="0" xfId="0" applyNumberFormat="1" applyFont="1" applyFill="1" applyAlignment="1">
      <alignment horizontal="center" vertical="center" wrapText="1"/>
    </xf>
    <xf numFmtId="173" fontId="78" fillId="29" borderId="0" xfId="0" applyNumberFormat="1" applyFont="1" applyFill="1" applyAlignment="1">
      <alignment horizontal="center" vertical="center" wrapText="1"/>
    </xf>
    <xf numFmtId="179" fontId="78" fillId="29" borderId="0" xfId="0" applyNumberFormat="1" applyFont="1" applyFill="1" applyAlignment="1">
      <alignment horizontal="right" vertical="center" wrapText="1"/>
    </xf>
    <xf numFmtId="0" fontId="5" fillId="29" borderId="0" xfId="246" applyFont="1" applyFill="1" applyAlignment="1">
      <alignment vertical="center"/>
    </xf>
    <xf numFmtId="0" fontId="4" fillId="29" borderId="0" xfId="246" applyFont="1" applyFill="1" applyAlignment="1">
      <alignment horizontal="right" vertical="center"/>
    </xf>
    <xf numFmtId="0" fontId="4" fillId="29" borderId="0" xfId="246" applyFont="1" applyFill="1" applyAlignment="1">
      <alignment vertical="center"/>
    </xf>
    <xf numFmtId="0" fontId="9" fillId="29" borderId="0" xfId="0" applyFont="1" applyFill="1" applyAlignment="1">
      <alignment vertical="top"/>
    </xf>
    <xf numFmtId="0" fontId="14" fillId="29" borderId="0" xfId="246" applyFont="1" applyFill="1"/>
    <xf numFmtId="0" fontId="9" fillId="29" borderId="0" xfId="0" applyFont="1" applyFill="1" applyAlignment="1">
      <alignment horizontal="center" vertical="center" wrapText="1"/>
    </xf>
    <xf numFmtId="0" fontId="5" fillId="29" borderId="0" xfId="0" applyFont="1" applyFill="1" applyAlignment="1">
      <alignment horizontal="center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4" fillId="29" borderId="0" xfId="0" applyFont="1" applyFill="1" applyAlignment="1">
      <alignment horizontal="left" vertical="center" wrapText="1"/>
    </xf>
    <xf numFmtId="0" fontId="4" fillId="29" borderId="13" xfId="0" applyFont="1" applyFill="1" applyBorder="1" applyAlignment="1">
      <alignment horizontal="left" vertical="center" wrapText="1"/>
    </xf>
    <xf numFmtId="0" fontId="5" fillId="29" borderId="13" xfId="0" applyFont="1" applyFill="1" applyBorder="1" applyAlignment="1">
      <alignment horizontal="right" vertical="center" wrapText="1"/>
    </xf>
    <xf numFmtId="0" fontId="4" fillId="29" borderId="0" xfId="0" applyFont="1" applyFill="1" applyAlignment="1">
      <alignment horizontal="left" vertical="top"/>
    </xf>
    <xf numFmtId="0" fontId="4" fillId="29" borderId="3" xfId="0" quotePrefix="1" applyFont="1" applyFill="1" applyBorder="1" applyAlignment="1">
      <alignment horizontal="center" vertical="center"/>
    </xf>
    <xf numFmtId="173" fontId="5" fillId="29" borderId="0" xfId="0" applyNumberFormat="1" applyFont="1" applyFill="1" applyAlignment="1">
      <alignment horizontal="right" vertical="center"/>
    </xf>
    <xf numFmtId="0" fontId="78" fillId="29" borderId="17" xfId="0" applyFont="1" applyFill="1" applyBorder="1" applyAlignment="1">
      <alignment vertical="center"/>
    </xf>
    <xf numFmtId="0" fontId="78" fillId="29" borderId="16" xfId="0" applyFont="1" applyFill="1" applyBorder="1" applyAlignment="1">
      <alignment vertical="center"/>
    </xf>
    <xf numFmtId="0" fontId="78" fillId="29" borderId="3" xfId="0" applyFont="1" applyFill="1" applyBorder="1" applyAlignment="1">
      <alignment horizontal="left" vertical="center"/>
    </xf>
    <xf numFmtId="0" fontId="78" fillId="29" borderId="16" xfId="0" applyFont="1" applyFill="1" applyBorder="1" applyAlignment="1">
      <alignment horizontal="right" vertical="center"/>
    </xf>
    <xf numFmtId="0" fontId="78" fillId="29" borderId="17" xfId="0" applyFont="1" applyFill="1" applyBorder="1" applyAlignment="1">
      <alignment horizontal="right" vertical="center"/>
    </xf>
    <xf numFmtId="0" fontId="78" fillId="29" borderId="3" xfId="0" applyFont="1" applyFill="1" applyBorder="1" applyAlignment="1">
      <alignment vertical="center"/>
    </xf>
    <xf numFmtId="0" fontId="78" fillId="29" borderId="36" xfId="0" applyFont="1" applyFill="1" applyBorder="1" applyAlignment="1">
      <alignment horizontal="right" vertical="center"/>
    </xf>
    <xf numFmtId="0" fontId="78" fillId="29" borderId="36" xfId="0" applyFont="1" applyFill="1" applyBorder="1" applyAlignment="1">
      <alignment vertical="center"/>
    </xf>
    <xf numFmtId="169" fontId="78" fillId="29" borderId="3" xfId="0" applyNumberFormat="1" applyFont="1" applyFill="1" applyBorder="1" applyAlignment="1">
      <alignment horizontal="right" vertical="center"/>
    </xf>
    <xf numFmtId="169" fontId="73" fillId="29" borderId="3" xfId="0" applyNumberFormat="1" applyFont="1" applyFill="1" applyBorder="1" applyAlignment="1">
      <alignment horizontal="right" vertical="center"/>
    </xf>
    <xf numFmtId="170" fontId="72" fillId="29" borderId="0" xfId="0" applyNumberFormat="1" applyFont="1" applyFill="1" applyAlignment="1">
      <alignment horizontal="center" vertical="center" wrapText="1"/>
    </xf>
    <xf numFmtId="0" fontId="72" fillId="29" borderId="0" xfId="0" applyFont="1" applyFill="1" applyAlignment="1">
      <alignment horizontal="center" vertical="center"/>
    </xf>
    <xf numFmtId="0" fontId="72" fillId="29" borderId="0" xfId="0" applyFont="1" applyFill="1" applyAlignment="1">
      <alignment vertical="center"/>
    </xf>
    <xf numFmtId="0" fontId="73" fillId="29" borderId="17" xfId="0" applyFont="1" applyFill="1" applyBorder="1" applyAlignment="1">
      <alignment horizontal="center" vertical="center" wrapText="1"/>
    </xf>
    <xf numFmtId="179" fontId="4" fillId="29" borderId="3" xfId="207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horizontal="center" vertical="center" wrapText="1"/>
    </xf>
    <xf numFmtId="0" fontId="83" fillId="29" borderId="37" xfId="0" applyFont="1" applyFill="1" applyBorder="1" applyAlignment="1" applyProtection="1">
      <alignment horizontal="left" vertical="center" wrapText="1"/>
      <protection locked="0"/>
    </xf>
    <xf numFmtId="0" fontId="84" fillId="29" borderId="40" xfId="0" applyFont="1" applyFill="1" applyBorder="1" applyAlignment="1" applyProtection="1">
      <alignment horizontal="left" vertical="center" wrapText="1"/>
      <protection locked="0"/>
    </xf>
    <xf numFmtId="0" fontId="83" fillId="29" borderId="40" xfId="0" applyFont="1" applyFill="1" applyBorder="1" applyAlignment="1" applyProtection="1">
      <alignment horizontal="left" vertical="center" wrapText="1"/>
      <protection locked="0"/>
    </xf>
    <xf numFmtId="0" fontId="84" fillId="29" borderId="41" xfId="0" applyFont="1" applyFill="1" applyBorder="1" applyAlignment="1" applyProtection="1">
      <alignment horizontal="left" vertical="center" wrapText="1"/>
      <protection locked="0"/>
    </xf>
    <xf numFmtId="0" fontId="84" fillId="29" borderId="42" xfId="0" quotePrefix="1" applyFont="1" applyFill="1" applyBorder="1" applyAlignment="1">
      <alignment horizontal="center" vertical="center"/>
    </xf>
    <xf numFmtId="0" fontId="83" fillId="29" borderId="38" xfId="0" quotePrefix="1" applyFont="1" applyFill="1" applyBorder="1" applyAlignment="1">
      <alignment horizontal="center" vertical="center"/>
    </xf>
    <xf numFmtId="0" fontId="73" fillId="29" borderId="3" xfId="0" applyFont="1" applyFill="1" applyBorder="1" applyAlignment="1" applyProtection="1">
      <alignment horizontal="left" vertical="center" wrapText="1"/>
      <protection locked="0"/>
    </xf>
    <xf numFmtId="0" fontId="78" fillId="29" borderId="14" xfId="0" quotePrefix="1" applyFont="1" applyFill="1" applyBorder="1" applyAlignment="1">
      <alignment horizontal="center" vertical="center"/>
    </xf>
    <xf numFmtId="0" fontId="78" fillId="29" borderId="3" xfId="0" applyFont="1" applyFill="1" applyBorder="1" applyAlignment="1" applyProtection="1">
      <alignment horizontal="left" vertical="center" wrapText="1"/>
      <protection locked="0"/>
    </xf>
    <xf numFmtId="0" fontId="73" fillId="29" borderId="19" xfId="0" applyFont="1" applyFill="1" applyBorder="1" applyAlignment="1" applyProtection="1">
      <alignment horizontal="left" vertical="center" wrapText="1"/>
      <protection locked="0"/>
    </xf>
    <xf numFmtId="178" fontId="78" fillId="29" borderId="19" xfId="0" applyNumberFormat="1" applyFont="1" applyFill="1" applyBorder="1" applyAlignment="1">
      <alignment horizontal="right" vertical="center" wrapText="1"/>
    </xf>
    <xf numFmtId="178" fontId="73" fillId="29" borderId="19" xfId="0" applyNumberFormat="1" applyFont="1" applyFill="1" applyBorder="1" applyAlignment="1">
      <alignment horizontal="right" vertical="center" wrapText="1"/>
    </xf>
    <xf numFmtId="178" fontId="84" fillId="29" borderId="3" xfId="0" applyNumberFormat="1" applyFont="1" applyFill="1" applyBorder="1" applyAlignment="1">
      <alignment horizontal="center" vertical="center" wrapText="1"/>
    </xf>
    <xf numFmtId="178" fontId="78" fillId="29" borderId="3" xfId="0" applyNumberFormat="1" applyFont="1" applyFill="1" applyBorder="1" applyAlignment="1">
      <alignment horizontal="center" vertical="center" wrapText="1"/>
    </xf>
    <xf numFmtId="178" fontId="84" fillId="29" borderId="19" xfId="0" applyNumberFormat="1" applyFont="1" applyFill="1" applyBorder="1" applyAlignment="1">
      <alignment horizontal="center" vertical="center" wrapText="1"/>
    </xf>
    <xf numFmtId="178" fontId="73" fillId="29" borderId="39" xfId="0" applyNumberFormat="1" applyFont="1" applyFill="1" applyBorder="1" applyAlignment="1">
      <alignment horizontal="right" vertical="center" wrapText="1"/>
    </xf>
    <xf numFmtId="178" fontId="78" fillId="29" borderId="43" xfId="0" applyNumberFormat="1" applyFont="1" applyFill="1" applyBorder="1" applyAlignment="1">
      <alignment horizontal="right" vertical="center" wrapText="1"/>
    </xf>
    <xf numFmtId="0" fontId="5" fillId="29" borderId="0" xfId="0" applyFont="1" applyFill="1" applyAlignment="1">
      <alignment horizontal="center" vertical="center"/>
    </xf>
    <xf numFmtId="170" fontId="4" fillId="29" borderId="3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 applyProtection="1">
      <alignment horizontal="center" vertical="center" wrapText="1"/>
      <protection locked="0"/>
    </xf>
    <xf numFmtId="49" fontId="5" fillId="29" borderId="3" xfId="0" applyNumberFormat="1" applyFont="1" applyFill="1" applyBorder="1" applyAlignment="1">
      <alignment horizontal="left" vertical="center" wrapText="1" shrinkToFit="1"/>
    </xf>
    <xf numFmtId="170" fontId="5" fillId="29" borderId="3" xfId="0" applyNumberFormat="1" applyFont="1" applyFill="1" applyBorder="1" applyAlignment="1">
      <alignment horizontal="center" vertical="center" wrapText="1"/>
    </xf>
    <xf numFmtId="49" fontId="5" fillId="29" borderId="3" xfId="0" applyNumberFormat="1" applyFont="1" applyFill="1" applyBorder="1" applyAlignment="1">
      <alignment horizontal="justify" vertical="center" shrinkToFit="1"/>
    </xf>
    <xf numFmtId="49" fontId="5" fillId="29" borderId="3" xfId="0" applyNumberFormat="1" applyFont="1" applyFill="1" applyBorder="1" applyAlignment="1">
      <alignment horizontal="left" vertical="center" wrapText="1"/>
    </xf>
    <xf numFmtId="49" fontId="5" fillId="29" borderId="3" xfId="0" applyNumberFormat="1" applyFont="1" applyFill="1" applyBorder="1" applyAlignment="1">
      <alignment horizontal="left" vertical="center" shrinkToFit="1"/>
    </xf>
    <xf numFmtId="49" fontId="5" fillId="29" borderId="3" xfId="0" applyNumberFormat="1" applyFont="1" applyFill="1" applyBorder="1" applyAlignment="1">
      <alignment vertical="center" wrapText="1"/>
    </xf>
    <xf numFmtId="49" fontId="5" fillId="29" borderId="17" xfId="0" applyNumberFormat="1" applyFont="1" applyFill="1" applyBorder="1" applyAlignment="1">
      <alignment horizontal="justify" vertical="center" shrinkToFit="1"/>
    </xf>
    <xf numFmtId="0" fontId="5" fillId="29" borderId="0" xfId="0" applyFont="1" applyFill="1" applyAlignment="1" applyProtection="1">
      <alignment vertical="center" wrapText="1"/>
      <protection locked="0"/>
    </xf>
    <xf numFmtId="0" fontId="5" fillId="29" borderId="3" xfId="0" applyFont="1" applyFill="1" applyBorder="1" applyAlignment="1">
      <alignment horizontal="justify" vertical="center" shrinkToFit="1"/>
    </xf>
    <xf numFmtId="49" fontId="5" fillId="29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29" borderId="3" xfId="354" applyNumberFormat="1" applyFont="1" applyFill="1" applyBorder="1" applyAlignment="1">
      <alignment horizontal="justify" vertical="center" wrapText="1"/>
    </xf>
    <xf numFmtId="170" fontId="72" fillId="29" borderId="3" xfId="0" applyNumberFormat="1" applyFont="1" applyFill="1" applyBorder="1" applyAlignment="1">
      <alignment vertical="center" wrapText="1"/>
    </xf>
    <xf numFmtId="170" fontId="78" fillId="29" borderId="0" xfId="0" quotePrefix="1" applyNumberFormat="1" applyFont="1" applyFill="1" applyAlignment="1" applyProtection="1">
      <alignment vertical="center" wrapText="1"/>
      <protection locked="0"/>
    </xf>
    <xf numFmtId="0" fontId="78" fillId="29" borderId="0" xfId="0" applyFont="1" applyFill="1" applyAlignment="1">
      <alignment horizontal="right" vertical="center"/>
    </xf>
    <xf numFmtId="0" fontId="5" fillId="29" borderId="3" xfId="0" applyFont="1" applyFill="1" applyBorder="1" applyAlignment="1">
      <alignment horizontal="center" vertical="center" wrapText="1" shrinkToFit="1"/>
    </xf>
    <xf numFmtId="0" fontId="90" fillId="29" borderId="0" xfId="0" applyFont="1" applyFill="1" applyAlignment="1">
      <alignment vertical="center"/>
    </xf>
    <xf numFmtId="49" fontId="92" fillId="29" borderId="3" xfId="0" applyNumberFormat="1" applyFont="1" applyFill="1" applyBorder="1" applyAlignment="1">
      <alignment vertical="center" wrapText="1"/>
    </xf>
    <xf numFmtId="0" fontId="5" fillId="29" borderId="3" xfId="0" applyFont="1" applyFill="1" applyBorder="1" applyAlignment="1">
      <alignment vertical="center" wrapText="1" shrinkToFit="1"/>
    </xf>
    <xf numFmtId="0" fontId="72" fillId="29" borderId="3" xfId="0" applyFont="1" applyFill="1" applyBorder="1" applyAlignment="1">
      <alignment vertical="center"/>
    </xf>
    <xf numFmtId="49" fontId="5" fillId="29" borderId="19" xfId="0" applyNumberFormat="1" applyFont="1" applyFill="1" applyBorder="1" applyAlignment="1">
      <alignment horizontal="left" vertical="center" wrapText="1"/>
    </xf>
    <xf numFmtId="170" fontId="72" fillId="29" borderId="0" xfId="0" applyNumberFormat="1" applyFont="1" applyFill="1" applyAlignment="1">
      <alignment horizontal="right" vertical="center" wrapText="1"/>
    </xf>
    <xf numFmtId="0" fontId="92" fillId="29" borderId="3" xfId="0" applyFont="1" applyFill="1" applyBorder="1" applyAlignment="1">
      <alignment vertical="center" wrapText="1"/>
    </xf>
    <xf numFmtId="0" fontId="6" fillId="29" borderId="3" xfId="0" applyFont="1" applyFill="1" applyBorder="1" applyAlignment="1">
      <alignment horizontal="left" vertical="center" wrapText="1"/>
    </xf>
    <xf numFmtId="0" fontId="93" fillId="29" borderId="3" xfId="0" applyFont="1" applyFill="1" applyBorder="1" applyAlignment="1">
      <alignment horizontal="center" vertical="center" wrapText="1"/>
    </xf>
    <xf numFmtId="0" fontId="72" fillId="29" borderId="0" xfId="0" applyFont="1" applyFill="1" applyAlignment="1">
      <alignment horizontal="left" vertical="center" wrapText="1"/>
    </xf>
    <xf numFmtId="0" fontId="80" fillId="29" borderId="0" xfId="246" applyFont="1" applyFill="1" applyAlignment="1">
      <alignment vertical="center"/>
    </xf>
    <xf numFmtId="170" fontId="81" fillId="29" borderId="3" xfId="0" applyNumberFormat="1" applyFont="1" applyFill="1" applyBorder="1" applyAlignment="1">
      <alignment horizontal="center" vertical="center" wrapText="1"/>
    </xf>
    <xf numFmtId="0" fontId="5" fillId="29" borderId="3" xfId="354" applyFont="1" applyFill="1" applyBorder="1" applyAlignment="1">
      <alignment horizontal="justify" vertical="center" wrapText="1"/>
    </xf>
    <xf numFmtId="0" fontId="6" fillId="29" borderId="3" xfId="0" quotePrefix="1" applyFont="1" applyFill="1" applyBorder="1" applyAlignment="1">
      <alignment horizontal="center" vertical="center"/>
    </xf>
    <xf numFmtId="0" fontId="73" fillId="29" borderId="0" xfId="0" applyFont="1" applyFill="1" applyAlignment="1">
      <alignment vertical="center"/>
    </xf>
    <xf numFmtId="49" fontId="5" fillId="29" borderId="3" xfId="0" applyNumberFormat="1" applyFont="1" applyFill="1" applyBorder="1" applyAlignment="1">
      <alignment horizontal="center" vertical="center" wrapText="1"/>
    </xf>
    <xf numFmtId="0" fontId="5" fillId="29" borderId="16" xfId="0" quotePrefix="1" applyFont="1" applyFill="1" applyBorder="1" applyAlignment="1">
      <alignment horizontal="center" vertical="center"/>
    </xf>
    <xf numFmtId="49" fontId="5" fillId="29" borderId="15" xfId="0" applyNumberFormat="1" applyFont="1" applyFill="1" applyBorder="1" applyAlignment="1">
      <alignment horizontal="center" vertical="center" wrapText="1"/>
    </xf>
    <xf numFmtId="49" fontId="5" fillId="29" borderId="0" xfId="0" applyNumberFormat="1" applyFont="1" applyFill="1" applyAlignment="1">
      <alignment horizontal="left" vertical="center"/>
    </xf>
    <xf numFmtId="0" fontId="4" fillId="29" borderId="0" xfId="0" quotePrefix="1" applyFont="1" applyFill="1" applyAlignment="1">
      <alignment horizontal="center" vertical="center"/>
    </xf>
    <xf numFmtId="0" fontId="84" fillId="29" borderId="0" xfId="0" applyFont="1" applyFill="1" applyAlignment="1">
      <alignment horizontal="center" vertical="center"/>
    </xf>
    <xf numFmtId="177" fontId="83" fillId="29" borderId="3" xfId="0" applyNumberFormat="1" applyFont="1" applyFill="1" applyBorder="1" applyAlignment="1">
      <alignment horizontal="center" vertical="center" wrapText="1"/>
    </xf>
    <xf numFmtId="177" fontId="84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78" fillId="29" borderId="19" xfId="0" applyNumberFormat="1" applyFont="1" applyFill="1" applyBorder="1" applyAlignment="1">
      <alignment horizontal="center" vertical="center" wrapText="1"/>
    </xf>
    <xf numFmtId="177" fontId="84" fillId="29" borderId="19" xfId="0" applyNumberFormat="1" applyFont="1" applyFill="1" applyBorder="1" applyAlignment="1">
      <alignment horizontal="center" vertical="center" wrapText="1"/>
    </xf>
    <xf numFmtId="177" fontId="83" fillId="29" borderId="19" xfId="0" applyNumberFormat="1" applyFont="1" applyFill="1" applyBorder="1" applyAlignment="1">
      <alignment horizontal="center" vertical="center" wrapText="1"/>
    </xf>
    <xf numFmtId="177" fontId="83" fillId="29" borderId="38" xfId="0" applyNumberFormat="1" applyFont="1" applyFill="1" applyBorder="1" applyAlignment="1">
      <alignment horizontal="center" vertical="center" wrapText="1"/>
    </xf>
    <xf numFmtId="177" fontId="73" fillId="29" borderId="38" xfId="0" applyNumberFormat="1" applyFont="1" applyFill="1" applyBorder="1" applyAlignment="1">
      <alignment horizontal="center" vertical="center" wrapText="1"/>
    </xf>
    <xf numFmtId="177" fontId="73" fillId="29" borderId="19" xfId="0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>
      <alignment horizontal="center" vertical="center" wrapText="1"/>
    </xf>
    <xf numFmtId="3" fontId="81" fillId="29" borderId="3" xfId="0" applyNumberFormat="1" applyFont="1" applyFill="1" applyBorder="1" applyAlignment="1">
      <alignment horizontal="center" vertical="center" wrapText="1"/>
    </xf>
    <xf numFmtId="3" fontId="4" fillId="29" borderId="3" xfId="0" applyNumberFormat="1" applyFont="1" applyFill="1" applyBorder="1" applyAlignment="1">
      <alignment horizontal="center" vertical="center" wrapText="1"/>
    </xf>
    <xf numFmtId="3" fontId="90" fillId="29" borderId="3" xfId="0" applyNumberFormat="1" applyFont="1" applyFill="1" applyBorder="1" applyAlignment="1">
      <alignment horizontal="center" vertical="center" wrapText="1"/>
    </xf>
    <xf numFmtId="3" fontId="72" fillId="29" borderId="3" xfId="0" applyNumberFormat="1" applyFont="1" applyFill="1" applyBorder="1" applyAlignment="1">
      <alignment horizontal="center" vertical="center" wrapText="1"/>
    </xf>
    <xf numFmtId="0" fontId="95" fillId="29" borderId="0" xfId="0" applyFont="1" applyFill="1" applyAlignment="1">
      <alignment horizontal="right" vertical="center"/>
    </xf>
    <xf numFmtId="0" fontId="98" fillId="29" borderId="3" xfId="0" applyFont="1" applyFill="1" applyBorder="1" applyAlignment="1">
      <alignment vertical="center" wrapText="1"/>
    </xf>
    <xf numFmtId="3" fontId="98" fillId="29" borderId="3" xfId="0" applyNumberFormat="1" applyFont="1" applyFill="1" applyBorder="1" applyAlignment="1">
      <alignment horizontal="center" vertical="center" wrapText="1"/>
    </xf>
    <xf numFmtId="170" fontId="98" fillId="29" borderId="3" xfId="0" applyNumberFormat="1" applyFont="1" applyFill="1" applyBorder="1" applyAlignment="1">
      <alignment horizontal="center" vertical="center" wrapText="1"/>
    </xf>
    <xf numFmtId="0" fontId="99" fillId="29" borderId="3" xfId="0" applyFont="1" applyFill="1" applyBorder="1" applyAlignment="1">
      <alignment horizontal="left" vertical="center" wrapText="1"/>
    </xf>
    <xf numFmtId="0" fontId="9" fillId="29" borderId="3" xfId="0" applyFont="1" applyFill="1" applyBorder="1" applyAlignment="1">
      <alignment vertical="center" wrapText="1"/>
    </xf>
    <xf numFmtId="3" fontId="97" fillId="29" borderId="3" xfId="0" applyNumberFormat="1" applyFont="1" applyFill="1" applyBorder="1" applyAlignment="1">
      <alignment horizontal="center" vertical="center" wrapText="1"/>
    </xf>
    <xf numFmtId="170" fontId="97" fillId="29" borderId="3" xfId="0" applyNumberFormat="1" applyFont="1" applyFill="1" applyBorder="1" applyAlignment="1">
      <alignment horizontal="center" vertical="center" wrapText="1"/>
    </xf>
    <xf numFmtId="0" fontId="100" fillId="29" borderId="3" xfId="0" applyFont="1" applyFill="1" applyBorder="1" applyAlignment="1">
      <alignment vertical="center" wrapText="1"/>
    </xf>
    <xf numFmtId="49" fontId="9" fillId="29" borderId="3" xfId="0" applyNumberFormat="1" applyFont="1" applyFill="1" applyBorder="1" applyAlignment="1">
      <alignment horizontal="left" vertical="center" wrapText="1"/>
    </xf>
    <xf numFmtId="49" fontId="9" fillId="29" borderId="3" xfId="0" applyNumberFormat="1" applyFont="1" applyFill="1" applyBorder="1" applyAlignment="1">
      <alignment horizontal="left" vertical="center" wrapText="1" shrinkToFit="1"/>
    </xf>
    <xf numFmtId="0" fontId="9" fillId="29" borderId="3" xfId="354" applyFont="1" applyFill="1" applyBorder="1" applyAlignment="1">
      <alignment horizontal="left" vertical="center" wrapText="1"/>
    </xf>
    <xf numFmtId="0" fontId="9" fillId="29" borderId="3" xfId="354" applyFont="1" applyFill="1" applyBorder="1" applyAlignment="1">
      <alignment horizontal="justify" vertical="center" wrapText="1"/>
    </xf>
    <xf numFmtId="49" fontId="100" fillId="29" borderId="3" xfId="0" applyNumberFormat="1" applyFont="1" applyFill="1" applyBorder="1" applyAlignment="1">
      <alignment horizontal="left" vertical="center" wrapText="1" shrinkToFit="1"/>
    </xf>
    <xf numFmtId="0" fontId="101" fillId="29" borderId="0" xfId="0" applyFont="1" applyFill="1" applyAlignment="1">
      <alignment horizontal="right" vertical="center"/>
    </xf>
    <xf numFmtId="0" fontId="98" fillId="29" borderId="3" xfId="0" applyFont="1" applyFill="1" applyBorder="1" applyAlignment="1">
      <alignment horizontal="left" vertical="center" wrapText="1"/>
    </xf>
    <xf numFmtId="0" fontId="9" fillId="29" borderId="3" xfId="182" applyFont="1" applyFill="1" applyBorder="1" applyAlignment="1">
      <alignment horizontal="left" vertical="center" wrapText="1"/>
      <protection locked="0"/>
    </xf>
    <xf numFmtId="49" fontId="9" fillId="29" borderId="0" xfId="0" applyNumberFormat="1" applyFont="1" applyFill="1" applyAlignment="1">
      <alignment horizontal="justify" vertical="center" wrapText="1"/>
    </xf>
    <xf numFmtId="49" fontId="9" fillId="29" borderId="3" xfId="0" applyNumberFormat="1" applyFont="1" applyFill="1" applyBorder="1" applyAlignment="1">
      <alignment horizontal="justify" vertical="center" wrapText="1"/>
    </xf>
    <xf numFmtId="0" fontId="97" fillId="29" borderId="3" xfId="0" applyFont="1" applyFill="1" applyBorder="1" applyAlignment="1">
      <alignment vertical="center" wrapText="1"/>
    </xf>
    <xf numFmtId="0" fontId="104" fillId="29" borderId="3" xfId="0" applyFont="1" applyFill="1" applyBorder="1" applyAlignment="1">
      <alignment vertical="center" wrapText="1"/>
    </xf>
    <xf numFmtId="49" fontId="5" fillId="29" borderId="0" xfId="0" applyNumberFormat="1" applyFont="1" applyFill="1" applyAlignment="1">
      <alignment horizontal="left" vertical="center" wrapText="1"/>
    </xf>
    <xf numFmtId="0" fontId="102" fillId="29" borderId="0" xfId="0" applyFont="1" applyFill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horizontal="center" vertical="top"/>
    </xf>
    <xf numFmtId="0" fontId="73" fillId="29" borderId="3" xfId="0" applyFont="1" applyFill="1" applyBorder="1" applyAlignment="1">
      <alignment horizontal="left" vertical="center" wrapText="1"/>
    </xf>
    <xf numFmtId="0" fontId="4" fillId="29" borderId="0" xfId="0" applyFont="1" applyFill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/>
    </xf>
    <xf numFmtId="0" fontId="78" fillId="29" borderId="0" xfId="0" applyFont="1" applyFill="1" applyAlignment="1">
      <alignment horizontal="center" vertical="center" wrapText="1"/>
    </xf>
    <xf numFmtId="0" fontId="9" fillId="29" borderId="0" xfId="0" applyFont="1" applyFill="1" applyAlignment="1">
      <alignment horizontal="center" vertical="top"/>
    </xf>
    <xf numFmtId="0" fontId="5" fillId="29" borderId="3" xfId="246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 wrapText="1"/>
    </xf>
    <xf numFmtId="0" fontId="9" fillId="29" borderId="3" xfId="0" applyFont="1" applyFill="1" applyBorder="1" applyAlignment="1">
      <alignment horizontal="center" vertical="center"/>
    </xf>
    <xf numFmtId="49" fontId="4" fillId="29" borderId="3" xfId="0" applyNumberFormat="1" applyFont="1" applyFill="1" applyBorder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 wrapText="1"/>
    </xf>
    <xf numFmtId="177" fontId="78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/>
    </xf>
    <xf numFmtId="0" fontId="78" fillId="29" borderId="17" xfId="0" applyFont="1" applyFill="1" applyBorder="1" applyAlignment="1">
      <alignment horizontal="center" vertical="center"/>
    </xf>
    <xf numFmtId="0" fontId="78" fillId="29" borderId="16" xfId="0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left" vertical="center" wrapText="1"/>
    </xf>
    <xf numFmtId="3" fontId="78" fillId="29" borderId="3" xfId="0" applyNumberFormat="1" applyFont="1" applyFill="1" applyBorder="1" applyAlignment="1">
      <alignment horizontal="center" vertical="center" wrapText="1"/>
    </xf>
    <xf numFmtId="0" fontId="78" fillId="29" borderId="14" xfId="0" applyFont="1" applyFill="1" applyBorder="1" applyAlignment="1">
      <alignment horizontal="center" vertical="center" wrapText="1" shrinkToFit="1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0" fontId="78" fillId="29" borderId="13" xfId="0" applyFont="1" applyFill="1" applyBorder="1" applyAlignment="1">
      <alignment horizontal="center" vertical="center"/>
    </xf>
    <xf numFmtId="177" fontId="78" fillId="29" borderId="15" xfId="0" applyNumberFormat="1" applyFont="1" applyFill="1" applyBorder="1" applyAlignment="1">
      <alignment horizontal="center" vertical="center"/>
    </xf>
    <xf numFmtId="177" fontId="78" fillId="29" borderId="17" xfId="0" applyNumberFormat="1" applyFont="1" applyFill="1" applyBorder="1" applyAlignment="1">
      <alignment horizontal="center" vertical="center"/>
    </xf>
    <xf numFmtId="177" fontId="78" fillId="29" borderId="16" xfId="0" applyNumberFormat="1" applyFont="1" applyFill="1" applyBorder="1" applyAlignment="1">
      <alignment horizontal="center" vertical="center"/>
    </xf>
    <xf numFmtId="49" fontId="5" fillId="29" borderId="3" xfId="0" applyNumberFormat="1" applyFont="1" applyFill="1" applyBorder="1" applyAlignment="1">
      <alignment vertical="center" wrapText="1" shrinkToFit="1"/>
    </xf>
    <xf numFmtId="170" fontId="90" fillId="29" borderId="3" xfId="0" applyNumberFormat="1" applyFont="1" applyFill="1" applyBorder="1" applyAlignment="1">
      <alignment horizontal="center" vertical="center" wrapText="1"/>
    </xf>
    <xf numFmtId="170" fontId="72" fillId="29" borderId="3" xfId="0" applyNumberFormat="1" applyFont="1" applyFill="1" applyBorder="1" applyAlignment="1">
      <alignment horizontal="center" vertical="center" wrapText="1"/>
    </xf>
    <xf numFmtId="0" fontId="9" fillId="29" borderId="0" xfId="0" applyFont="1" applyFill="1" applyAlignment="1">
      <alignment horizontal="center" wrapText="1"/>
    </xf>
    <xf numFmtId="3" fontId="72" fillId="29" borderId="3" xfId="0" applyNumberFormat="1" applyFont="1" applyFill="1" applyBorder="1" applyAlignment="1">
      <alignment horizontal="center" vertical="center"/>
    </xf>
    <xf numFmtId="3" fontId="90" fillId="29" borderId="3" xfId="0" applyNumberFormat="1" applyFont="1" applyFill="1" applyBorder="1" applyAlignment="1">
      <alignment horizontal="center" vertical="center"/>
    </xf>
    <xf numFmtId="170" fontId="5" fillId="29" borderId="0" xfId="0" applyNumberFormat="1" applyFont="1" applyFill="1" applyAlignment="1">
      <alignment horizontal="right" vertical="center" wrapText="1"/>
    </xf>
    <xf numFmtId="179" fontId="90" fillId="29" borderId="3" xfId="0" applyNumberFormat="1" applyFont="1" applyFill="1" applyBorder="1" applyAlignment="1">
      <alignment horizontal="center" vertical="center" wrapText="1"/>
    </xf>
    <xf numFmtId="179" fontId="72" fillId="29" borderId="3" xfId="0" applyNumberFormat="1" applyFont="1" applyFill="1" applyBorder="1" applyAlignment="1">
      <alignment horizontal="center" vertical="center" wrapText="1"/>
    </xf>
    <xf numFmtId="0" fontId="89" fillId="29" borderId="0" xfId="0" applyFont="1" applyFill="1" applyAlignment="1">
      <alignment vertical="top"/>
    </xf>
    <xf numFmtId="3" fontId="90" fillId="29" borderId="3" xfId="0" quotePrefix="1" applyNumberFormat="1" applyFont="1" applyFill="1" applyBorder="1" applyAlignment="1">
      <alignment horizontal="center" vertical="center"/>
    </xf>
    <xf numFmtId="3" fontId="72" fillId="29" borderId="3" xfId="0" applyNumberFormat="1" applyFont="1" applyFill="1" applyBorder="1" applyAlignment="1">
      <alignment vertical="center"/>
    </xf>
    <xf numFmtId="3" fontId="5" fillId="29" borderId="3" xfId="0" applyNumberFormat="1" applyFont="1" applyFill="1" applyBorder="1" applyAlignment="1" applyProtection="1">
      <alignment horizontal="center" vertical="center" wrapText="1" shrinkToFit="1"/>
      <protection locked="0"/>
    </xf>
    <xf numFmtId="3" fontId="9" fillId="29" borderId="3" xfId="0" applyNumberFormat="1" applyFont="1" applyFill="1" applyBorder="1" applyAlignment="1" applyProtection="1">
      <alignment horizontal="center" vertical="center" wrapText="1"/>
      <protection locked="0"/>
    </xf>
    <xf numFmtId="3" fontId="9" fillId="29" borderId="3" xfId="0" applyNumberFormat="1" applyFont="1" applyFill="1" applyBorder="1" applyAlignment="1" applyProtection="1">
      <alignment horizontal="center" vertical="center" wrapText="1" shrinkToFit="1"/>
      <protection locked="0"/>
    </xf>
    <xf numFmtId="3" fontId="6" fillId="29" borderId="3" xfId="0" applyNumberFormat="1" applyFont="1" applyFill="1" applyBorder="1" applyAlignment="1">
      <alignment horizontal="center" vertical="center" wrapText="1"/>
    </xf>
    <xf numFmtId="3" fontId="4" fillId="29" borderId="3" xfId="0" applyNumberFormat="1" applyFont="1" applyFill="1" applyBorder="1" applyAlignment="1" applyProtection="1">
      <alignment horizontal="center" vertical="center"/>
      <protection locked="0"/>
    </xf>
    <xf numFmtId="3" fontId="6" fillId="29" borderId="3" xfId="0" applyNumberFormat="1" applyFont="1" applyFill="1" applyBorder="1" applyAlignment="1" applyProtection="1">
      <alignment horizontal="center" vertical="center"/>
      <protection locked="0"/>
    </xf>
    <xf numFmtId="3" fontId="5" fillId="29" borderId="3" xfId="0" applyNumberFormat="1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center" vertical="center"/>
    </xf>
    <xf numFmtId="3" fontId="5" fillId="29" borderId="3" xfId="0" applyNumberFormat="1" applyFont="1" applyFill="1" applyBorder="1" applyAlignment="1">
      <alignment horizontal="right" vertical="center" wrapText="1"/>
    </xf>
    <xf numFmtId="3" fontId="91" fillId="29" borderId="3" xfId="0" quotePrefix="1" applyNumberFormat="1" applyFont="1" applyFill="1" applyBorder="1" applyAlignment="1">
      <alignment horizontal="center" vertical="center" wrapText="1"/>
    </xf>
    <xf numFmtId="3" fontId="91" fillId="29" borderId="3" xfId="0" applyNumberFormat="1" applyFont="1" applyFill="1" applyBorder="1" applyAlignment="1">
      <alignment horizontal="center" vertical="center"/>
    </xf>
    <xf numFmtId="177" fontId="73" fillId="29" borderId="3" xfId="0" applyNumberFormat="1" applyFont="1" applyFill="1" applyBorder="1" applyAlignment="1">
      <alignment vertical="center" wrapText="1"/>
    </xf>
    <xf numFmtId="177" fontId="73" fillId="29" borderId="3" xfId="0" applyNumberFormat="1" applyFont="1" applyFill="1" applyBorder="1" applyAlignment="1">
      <alignment horizontal="right" vertical="center" wrapText="1"/>
    </xf>
    <xf numFmtId="177" fontId="83" fillId="29" borderId="3" xfId="0" applyNumberFormat="1" applyFont="1" applyFill="1" applyBorder="1" applyAlignment="1">
      <alignment vertical="center" wrapText="1"/>
    </xf>
    <xf numFmtId="177" fontId="84" fillId="29" borderId="42" xfId="0" applyNumberFormat="1" applyFont="1" applyFill="1" applyBorder="1" applyAlignment="1">
      <alignment horizontal="center" vertical="center" wrapText="1"/>
    </xf>
    <xf numFmtId="178" fontId="84" fillId="29" borderId="42" xfId="0" applyNumberFormat="1" applyFont="1" applyFill="1" applyBorder="1" applyAlignment="1">
      <alignment horizontal="center" vertical="center" wrapText="1"/>
    </xf>
    <xf numFmtId="0" fontId="105" fillId="29" borderId="51" xfId="0" applyFont="1" applyFill="1" applyBorder="1" applyAlignment="1">
      <alignment horizontal="center" vertical="center" wrapText="1"/>
    </xf>
    <xf numFmtId="0" fontId="105" fillId="29" borderId="52" xfId="0" applyFont="1" applyFill="1" applyBorder="1" applyAlignment="1">
      <alignment horizontal="center" vertical="center" wrapText="1"/>
    </xf>
    <xf numFmtId="3" fontId="97" fillId="29" borderId="3" xfId="0" applyNumberFormat="1" applyFont="1" applyFill="1" applyBorder="1" applyAlignment="1">
      <alignment horizontal="center" vertical="center"/>
    </xf>
    <xf numFmtId="3" fontId="9" fillId="29" borderId="3" xfId="0" applyNumberFormat="1" applyFont="1" applyFill="1" applyBorder="1" applyAlignment="1">
      <alignment horizontal="center"/>
    </xf>
    <xf numFmtId="3" fontId="104" fillId="29" borderId="3" xfId="0" applyNumberFormat="1" applyFont="1" applyFill="1" applyBorder="1" applyAlignment="1">
      <alignment horizontal="center" vertical="center" wrapText="1"/>
    </xf>
    <xf numFmtId="177" fontId="78" fillId="30" borderId="19" xfId="0" applyNumberFormat="1" applyFont="1" applyFill="1" applyBorder="1" applyAlignment="1">
      <alignment horizontal="center" vertical="center" wrapText="1"/>
    </xf>
    <xf numFmtId="177" fontId="83" fillId="30" borderId="3" xfId="0" applyNumberFormat="1" applyFont="1" applyFill="1" applyBorder="1" applyAlignment="1">
      <alignment horizontal="center" vertical="center" wrapText="1"/>
    </xf>
    <xf numFmtId="178" fontId="83" fillId="30" borderId="3" xfId="0" applyNumberFormat="1" applyFont="1" applyFill="1" applyBorder="1" applyAlignment="1">
      <alignment horizontal="center" vertical="center" wrapText="1"/>
    </xf>
    <xf numFmtId="177" fontId="84" fillId="30" borderId="3" xfId="0" applyNumberFormat="1" applyFont="1" applyFill="1" applyBorder="1" applyAlignment="1">
      <alignment horizontal="center" vertical="center" wrapText="1"/>
    </xf>
    <xf numFmtId="177" fontId="84" fillId="30" borderId="19" xfId="0" applyNumberFormat="1" applyFont="1" applyFill="1" applyBorder="1" applyAlignment="1">
      <alignment horizontal="center" vertical="center" wrapText="1"/>
    </xf>
    <xf numFmtId="177" fontId="83" fillId="30" borderId="19" xfId="0" applyNumberFormat="1" applyFont="1" applyFill="1" applyBorder="1" applyAlignment="1">
      <alignment horizontal="center" vertical="center" wrapText="1"/>
    </xf>
    <xf numFmtId="177" fontId="83" fillId="30" borderId="38" xfId="0" applyNumberFormat="1" applyFont="1" applyFill="1" applyBorder="1" applyAlignment="1">
      <alignment horizontal="center" vertical="center" wrapText="1"/>
    </xf>
    <xf numFmtId="178" fontId="84" fillId="30" borderId="19" xfId="0" applyNumberFormat="1" applyFont="1" applyFill="1" applyBorder="1" applyAlignment="1">
      <alignment horizontal="center" vertical="center" wrapText="1"/>
    </xf>
    <xf numFmtId="177" fontId="73" fillId="30" borderId="19" xfId="0" applyNumberFormat="1" applyFont="1" applyFill="1" applyBorder="1" applyAlignment="1">
      <alignment horizontal="center" vertical="center" wrapText="1"/>
    </xf>
    <xf numFmtId="177" fontId="73" fillId="30" borderId="3" xfId="0" applyNumberFormat="1" applyFont="1" applyFill="1" applyBorder="1" applyAlignment="1">
      <alignment horizontal="center" vertical="center" wrapText="1"/>
    </xf>
    <xf numFmtId="177" fontId="78" fillId="30" borderId="3" xfId="0" applyNumberFormat="1" applyFont="1" applyFill="1" applyBorder="1" applyAlignment="1">
      <alignment horizontal="center" vertical="center" wrapText="1"/>
    </xf>
    <xf numFmtId="177" fontId="73" fillId="30" borderId="3" xfId="0" applyNumberFormat="1" applyFont="1" applyFill="1" applyBorder="1" applyAlignment="1">
      <alignment vertical="center" wrapText="1"/>
    </xf>
    <xf numFmtId="177" fontId="73" fillId="30" borderId="3" xfId="0" applyNumberFormat="1" applyFont="1" applyFill="1" applyBorder="1" applyAlignment="1">
      <alignment horizontal="right" vertical="center" wrapText="1"/>
    </xf>
    <xf numFmtId="177" fontId="83" fillId="30" borderId="3" xfId="0" applyNumberFormat="1" applyFont="1" applyFill="1" applyBorder="1" applyAlignment="1">
      <alignment vertical="center" wrapText="1"/>
    </xf>
    <xf numFmtId="3" fontId="4" fillId="30" borderId="3" xfId="0" applyNumberFormat="1" applyFont="1" applyFill="1" applyBorder="1" applyAlignment="1">
      <alignment horizontal="center" vertical="center" wrapText="1"/>
    </xf>
    <xf numFmtId="3" fontId="5" fillId="30" borderId="3" xfId="0" applyNumberFormat="1" applyFont="1" applyFill="1" applyBorder="1" applyAlignment="1">
      <alignment horizontal="center" vertical="center" wrapText="1"/>
    </xf>
    <xf numFmtId="3" fontId="5" fillId="30" borderId="3" xfId="0" applyNumberFormat="1" applyFont="1" applyFill="1" applyBorder="1" applyAlignment="1">
      <alignment horizontal="center" vertical="center"/>
    </xf>
    <xf numFmtId="3" fontId="5" fillId="30" borderId="3" xfId="0" applyNumberFormat="1" applyFont="1" applyFill="1" applyBorder="1" applyAlignment="1" applyProtection="1">
      <alignment horizontal="center" vertical="center" wrapText="1"/>
      <protection locked="0"/>
    </xf>
    <xf numFmtId="3" fontId="4" fillId="30" borderId="3" xfId="0" applyNumberFormat="1" applyFont="1" applyFill="1" applyBorder="1" applyAlignment="1">
      <alignment horizontal="center" vertical="center"/>
    </xf>
    <xf numFmtId="3" fontId="72" fillId="30" borderId="3" xfId="0" applyNumberFormat="1" applyFont="1" applyFill="1" applyBorder="1" applyAlignment="1">
      <alignment vertical="center" wrapText="1"/>
    </xf>
    <xf numFmtId="177" fontId="4" fillId="30" borderId="3" xfId="0" applyNumberFormat="1" applyFont="1" applyFill="1" applyBorder="1" applyAlignment="1">
      <alignment horizontal="center" vertical="center" wrapText="1"/>
    </xf>
    <xf numFmtId="177" fontId="5" fillId="30" borderId="3" xfId="0" applyNumberFormat="1" applyFont="1" applyFill="1" applyBorder="1" applyAlignment="1">
      <alignment horizontal="center" vertical="center" wrapText="1"/>
    </xf>
    <xf numFmtId="173" fontId="73" fillId="30" borderId="3" xfId="0" applyNumberFormat="1" applyFont="1" applyFill="1" applyBorder="1" applyAlignment="1">
      <alignment horizontal="center" vertical="center" wrapText="1"/>
    </xf>
    <xf numFmtId="173" fontId="78" fillId="30" borderId="3" xfId="0" applyNumberFormat="1" applyFont="1" applyFill="1" applyBorder="1" applyAlignment="1">
      <alignment horizontal="center" vertical="center" wrapText="1"/>
    </xf>
    <xf numFmtId="170" fontId="9" fillId="29" borderId="3" xfId="0" applyNumberFormat="1" applyFont="1" applyFill="1" applyBorder="1" applyAlignment="1">
      <alignment horizontal="center" vertical="center" wrapText="1"/>
    </xf>
    <xf numFmtId="170" fontId="5" fillId="29" borderId="0" xfId="0" applyNumberFormat="1" applyFont="1" applyFill="1" applyAlignment="1">
      <alignment horizontal="center" vertical="center"/>
    </xf>
    <xf numFmtId="169" fontId="5" fillId="29" borderId="14" xfId="0" applyNumberFormat="1" applyFont="1" applyFill="1" applyBorder="1" applyAlignment="1">
      <alignment horizontal="center" vertical="center" wrapText="1"/>
    </xf>
    <xf numFmtId="169" fontId="5" fillId="29" borderId="3" xfId="0" applyNumberFormat="1" applyFont="1" applyFill="1" applyBorder="1" applyAlignment="1">
      <alignment horizontal="center" vertical="center" wrapText="1"/>
    </xf>
    <xf numFmtId="169" fontId="72" fillId="29" borderId="0" xfId="0" applyNumberFormat="1" applyFont="1" applyFill="1" applyAlignment="1">
      <alignment horizontal="center" vertical="center" wrapText="1"/>
    </xf>
    <xf numFmtId="169" fontId="72" fillId="29" borderId="0" xfId="0" applyNumberFormat="1" applyFont="1" applyFill="1" applyAlignment="1">
      <alignment horizontal="center" vertical="center"/>
    </xf>
    <xf numFmtId="169" fontId="5" fillId="29" borderId="0" xfId="0" applyNumberFormat="1" applyFont="1" applyFill="1" applyAlignment="1">
      <alignment horizontal="center" vertical="center"/>
    </xf>
    <xf numFmtId="179" fontId="78" fillId="30" borderId="3" xfId="0" applyNumberFormat="1" applyFont="1" applyFill="1" applyBorder="1" applyAlignment="1">
      <alignment horizontal="right" vertical="center" wrapText="1"/>
    </xf>
    <xf numFmtId="178" fontId="78" fillId="29" borderId="3" xfId="0" applyNumberFormat="1" applyFont="1" applyFill="1" applyBorder="1" applyAlignment="1">
      <alignment horizontal="right" vertical="center" wrapText="1"/>
    </xf>
    <xf numFmtId="178" fontId="4" fillId="29" borderId="3" xfId="0" applyNumberFormat="1" applyFont="1" applyFill="1" applyBorder="1" applyAlignment="1">
      <alignment horizontal="center" vertical="center" wrapText="1"/>
    </xf>
    <xf numFmtId="3" fontId="78" fillId="30" borderId="3" xfId="0" applyNumberFormat="1" applyFont="1" applyFill="1" applyBorder="1" applyAlignment="1">
      <alignment horizontal="center" vertical="center" wrapText="1"/>
    </xf>
    <xf numFmtId="178" fontId="78" fillId="30" borderId="3" xfId="0" applyNumberFormat="1" applyFont="1" applyFill="1" applyBorder="1" applyAlignment="1">
      <alignment horizontal="center" vertical="center" wrapText="1"/>
    </xf>
    <xf numFmtId="177" fontId="84" fillId="30" borderId="19" xfId="0" applyNumberFormat="1" applyFont="1" applyFill="1" applyBorder="1" applyAlignment="1">
      <alignment horizontal="right" vertical="center" wrapText="1"/>
    </xf>
    <xf numFmtId="169" fontId="5" fillId="29" borderId="0" xfId="0" applyNumberFormat="1" applyFont="1" applyFill="1" applyAlignment="1">
      <alignment horizontal="center" vertical="center" wrapText="1"/>
    </xf>
    <xf numFmtId="173" fontId="73" fillId="31" borderId="3" xfId="0" applyNumberFormat="1" applyFont="1" applyFill="1" applyBorder="1" applyAlignment="1">
      <alignment horizontal="center" vertical="center" wrapText="1"/>
    </xf>
    <xf numFmtId="179" fontId="73" fillId="30" borderId="3" xfId="0" applyNumberFormat="1" applyFont="1" applyFill="1" applyBorder="1" applyAlignment="1">
      <alignment horizontal="center" vertical="center" wrapText="1"/>
    </xf>
    <xf numFmtId="170" fontId="5" fillId="29" borderId="14" xfId="0" applyNumberFormat="1" applyFont="1" applyFill="1" applyBorder="1" applyAlignment="1">
      <alignment horizontal="center" vertical="center" wrapText="1"/>
    </xf>
    <xf numFmtId="170" fontId="72" fillId="29" borderId="0" xfId="0" applyNumberFormat="1" applyFont="1" applyFill="1" applyAlignment="1">
      <alignment horizontal="center" vertical="center"/>
    </xf>
    <xf numFmtId="3" fontId="90" fillId="30" borderId="3" xfId="0" applyNumberFormat="1" applyFont="1" applyFill="1" applyBorder="1" applyAlignment="1">
      <alignment horizontal="center" vertical="center" wrapText="1"/>
    </xf>
    <xf numFmtId="3" fontId="72" fillId="30" borderId="3" xfId="0" applyNumberFormat="1" applyFont="1" applyFill="1" applyBorder="1" applyAlignment="1">
      <alignment horizontal="center" vertical="center" wrapText="1"/>
    </xf>
    <xf numFmtId="3" fontId="72" fillId="32" borderId="3" xfId="0" applyNumberFormat="1" applyFont="1" applyFill="1" applyBorder="1" applyAlignment="1">
      <alignment horizontal="center" vertical="center" wrapText="1"/>
    </xf>
    <xf numFmtId="177" fontId="78" fillId="32" borderId="3" xfId="0" applyNumberFormat="1" applyFont="1" applyFill="1" applyBorder="1" applyAlignment="1">
      <alignment horizontal="center" vertical="center" wrapText="1"/>
    </xf>
    <xf numFmtId="177" fontId="5" fillId="32" borderId="0" xfId="0" applyNumberFormat="1" applyFont="1" applyFill="1" applyAlignment="1">
      <alignment vertical="center"/>
    </xf>
    <xf numFmtId="0" fontId="4" fillId="32" borderId="0" xfId="0" applyFont="1" applyFill="1" applyAlignment="1">
      <alignment vertical="center"/>
    </xf>
    <xf numFmtId="177" fontId="4" fillId="32" borderId="0" xfId="0" applyNumberFormat="1" applyFont="1" applyFill="1" applyAlignment="1">
      <alignment vertical="center"/>
    </xf>
    <xf numFmtId="177" fontId="78" fillId="32" borderId="19" xfId="0" applyNumberFormat="1" applyFont="1" applyFill="1" applyBorder="1" applyAlignment="1">
      <alignment horizontal="center" vertical="center" wrapText="1"/>
    </xf>
    <xf numFmtId="177" fontId="73" fillId="32" borderId="3" xfId="0" applyNumberFormat="1" applyFont="1" applyFill="1" applyBorder="1" applyAlignment="1">
      <alignment horizontal="center" vertical="center" wrapText="1"/>
    </xf>
    <xf numFmtId="0" fontId="5" fillId="32" borderId="0" xfId="0" applyFont="1" applyFill="1" applyAlignment="1">
      <alignment vertical="center"/>
    </xf>
    <xf numFmtId="4" fontId="5" fillId="29" borderId="0" xfId="0" applyNumberFormat="1" applyFont="1" applyFill="1" applyAlignment="1">
      <alignment vertical="center"/>
    </xf>
    <xf numFmtId="4" fontId="4" fillId="29" borderId="0" xfId="0" applyNumberFormat="1" applyFont="1" applyFill="1" applyAlignment="1">
      <alignment horizontal="left" vertical="center"/>
    </xf>
    <xf numFmtId="4" fontId="78" fillId="32" borderId="3" xfId="0" applyNumberFormat="1" applyFont="1" applyFill="1" applyBorder="1" applyAlignment="1">
      <alignment vertical="center"/>
    </xf>
    <xf numFmtId="4" fontId="5" fillId="32" borderId="0" xfId="0" applyNumberFormat="1" applyFont="1" applyFill="1" applyAlignment="1">
      <alignment vertical="center"/>
    </xf>
    <xf numFmtId="4" fontId="14" fillId="29" borderId="0" xfId="0" applyNumberFormat="1" applyFont="1" applyFill="1" applyAlignment="1">
      <alignment vertical="center"/>
    </xf>
    <xf numFmtId="4" fontId="14" fillId="29" borderId="0" xfId="0" applyNumberFormat="1" applyFont="1" applyFill="1"/>
    <xf numFmtId="4" fontId="14" fillId="29" borderId="0" xfId="0" applyNumberFormat="1" applyFont="1" applyFill="1" applyAlignment="1">
      <alignment horizontal="center" vertical="center"/>
    </xf>
    <xf numFmtId="4" fontId="5" fillId="29" borderId="0" xfId="0" applyNumberFormat="1" applyFont="1" applyFill="1" applyAlignment="1">
      <alignment horizontal="center" vertical="top"/>
    </xf>
    <xf numFmtId="4" fontId="5" fillId="29" borderId="0" xfId="0" applyNumberFormat="1" applyFont="1" applyFill="1" applyAlignment="1">
      <alignment horizontal="center" vertical="center"/>
    </xf>
    <xf numFmtId="0" fontId="78" fillId="32" borderId="13" xfId="0" applyFont="1" applyFill="1" applyBorder="1" applyAlignment="1">
      <alignment horizontal="center" vertical="center"/>
    </xf>
    <xf numFmtId="4" fontId="78" fillId="29" borderId="0" xfId="0" applyNumberFormat="1" applyFont="1" applyFill="1" applyAlignment="1">
      <alignment vertical="center"/>
    </xf>
    <xf numFmtId="4" fontId="78" fillId="32" borderId="0" xfId="0" applyNumberFormat="1" applyFont="1" applyFill="1" applyAlignment="1">
      <alignment vertical="center"/>
    </xf>
    <xf numFmtId="0" fontId="5" fillId="32" borderId="3" xfId="0" applyFont="1" applyFill="1" applyBorder="1" applyAlignment="1">
      <alignment vertical="center"/>
    </xf>
    <xf numFmtId="0" fontId="72" fillId="32" borderId="3" xfId="0" applyFont="1" applyFill="1" applyBorder="1" applyAlignment="1">
      <alignment vertical="center"/>
    </xf>
    <xf numFmtId="0" fontId="90" fillId="32" borderId="3" xfId="0" applyFont="1" applyFill="1" applyBorder="1" applyAlignment="1">
      <alignment vertical="center"/>
    </xf>
    <xf numFmtId="0" fontId="5" fillId="32" borderId="3" xfId="0" applyFont="1" applyFill="1" applyBorder="1" applyAlignment="1">
      <alignment vertical="center" wrapText="1"/>
    </xf>
    <xf numFmtId="173" fontId="78" fillId="32" borderId="3" xfId="0" applyNumberFormat="1" applyFont="1" applyFill="1" applyBorder="1" applyAlignment="1">
      <alignment horizontal="center" vertical="center" wrapText="1"/>
    </xf>
    <xf numFmtId="3" fontId="5" fillId="32" borderId="3" xfId="0" applyNumberFormat="1" applyFont="1" applyFill="1" applyBorder="1" applyAlignment="1" applyProtection="1">
      <alignment horizontal="center" vertical="center" wrapText="1" shrinkToFit="1"/>
      <protection locked="0"/>
    </xf>
    <xf numFmtId="3" fontId="5" fillId="32" borderId="3" xfId="0" applyNumberFormat="1" applyFont="1" applyFill="1" applyBorder="1" applyAlignment="1">
      <alignment horizontal="center" vertical="center" wrapText="1"/>
    </xf>
    <xf numFmtId="4" fontId="80" fillId="29" borderId="0" xfId="246" applyNumberFormat="1" applyFont="1" applyFill="1" applyAlignment="1">
      <alignment vertical="center"/>
    </xf>
    <xf numFmtId="4" fontId="73" fillId="29" borderId="0" xfId="0" applyNumberFormat="1" applyFont="1" applyFill="1" applyAlignment="1">
      <alignment vertical="center"/>
    </xf>
    <xf numFmtId="4" fontId="84" fillId="29" borderId="0" xfId="0" applyNumberFormat="1" applyFont="1" applyFill="1" applyAlignment="1">
      <alignment horizontal="center" vertical="center"/>
    </xf>
    <xf numFmtId="177" fontId="78" fillId="31" borderId="3" xfId="0" applyNumberFormat="1" applyFont="1" applyFill="1" applyBorder="1" applyAlignment="1">
      <alignment horizontal="center" vertical="center" wrapText="1"/>
    </xf>
    <xf numFmtId="0" fontId="78" fillId="29" borderId="0" xfId="0" applyFont="1" applyFill="1" applyAlignment="1">
      <alignment horizontal="center" vertical="center" wrapText="1"/>
    </xf>
    <xf numFmtId="0" fontId="78" fillId="29" borderId="0" xfId="0" applyFont="1" applyFill="1" applyAlignment="1">
      <alignment horizontal="center" vertical="center"/>
    </xf>
    <xf numFmtId="177" fontId="78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3" fontId="78" fillId="29" borderId="15" xfId="0" applyNumberFormat="1" applyFont="1" applyFill="1" applyBorder="1" applyAlignment="1">
      <alignment horizontal="center" vertical="center" wrapText="1"/>
    </xf>
    <xf numFmtId="3" fontId="78" fillId="29" borderId="16" xfId="0" applyNumberFormat="1" applyFont="1" applyFill="1" applyBorder="1" applyAlignment="1">
      <alignment horizontal="center" vertical="center" wrapText="1"/>
    </xf>
    <xf numFmtId="0" fontId="78" fillId="29" borderId="0" xfId="0" applyFont="1" applyFill="1" applyAlignment="1">
      <alignment horizontal="right" vertical="center"/>
    </xf>
    <xf numFmtId="0" fontId="78" fillId="29" borderId="0" xfId="0" applyFont="1" applyFill="1" applyAlignment="1">
      <alignment horizontal="center" vertical="center"/>
    </xf>
    <xf numFmtId="177" fontId="78" fillId="29" borderId="3" xfId="0" applyNumberFormat="1" applyFont="1" applyFill="1" applyBorder="1" applyAlignment="1">
      <alignment horizontal="center" vertical="center" wrapText="1"/>
    </xf>
    <xf numFmtId="1" fontId="5" fillId="29" borderId="3" xfId="0" applyNumberFormat="1" applyFont="1" applyFill="1" applyBorder="1" applyAlignment="1">
      <alignment horizontal="center" vertical="center" wrapText="1"/>
    </xf>
    <xf numFmtId="3" fontId="5" fillId="30" borderId="3" xfId="0" quotePrefix="1" applyNumberFormat="1" applyFont="1" applyFill="1" applyBorder="1" applyAlignment="1">
      <alignment horizontal="center" vertical="center"/>
    </xf>
    <xf numFmtId="3" fontId="5" fillId="30" borderId="3" xfId="0" applyNumberFormat="1" applyFont="1" applyFill="1" applyBorder="1" applyAlignment="1">
      <alignment horizontal="center" vertical="center" wrapText="1" shrinkToFit="1"/>
    </xf>
    <xf numFmtId="3" fontId="5" fillId="29" borderId="3" xfId="0" applyNumberFormat="1" applyFont="1" applyFill="1" applyBorder="1" applyAlignment="1">
      <alignment horizontal="center" vertical="center" wrapText="1" shrinkToFit="1"/>
    </xf>
    <xf numFmtId="3" fontId="72" fillId="30" borderId="3" xfId="0" applyNumberFormat="1" applyFont="1" applyFill="1" applyBorder="1" applyAlignment="1">
      <alignment vertical="center"/>
    </xf>
    <xf numFmtId="3" fontId="5" fillId="30" borderId="3" xfId="0" applyNumberFormat="1" applyFont="1" applyFill="1" applyBorder="1" applyAlignment="1" applyProtection="1">
      <alignment horizontal="center" vertical="center" wrapText="1" shrinkToFit="1"/>
      <protection locked="0"/>
    </xf>
    <xf numFmtId="3" fontId="5" fillId="29" borderId="3" xfId="0" applyNumberFormat="1" applyFont="1" applyFill="1" applyBorder="1" applyAlignment="1" applyProtection="1">
      <alignment horizontal="center" vertical="center" wrapText="1"/>
      <protection locked="0"/>
    </xf>
    <xf numFmtId="3" fontId="6" fillId="30" borderId="3" xfId="0" applyNumberFormat="1" applyFont="1" applyFill="1" applyBorder="1" applyAlignment="1">
      <alignment horizontal="center" vertical="center" wrapText="1"/>
    </xf>
    <xf numFmtId="3" fontId="5" fillId="30" borderId="17" xfId="0" applyNumberFormat="1" applyFont="1" applyFill="1" applyBorder="1" applyAlignment="1" applyProtection="1">
      <alignment horizontal="center" vertical="center" wrapText="1"/>
      <protection locked="0"/>
    </xf>
    <xf numFmtId="4" fontId="72" fillId="29" borderId="0" xfId="0" applyNumberFormat="1" applyFont="1" applyFill="1" applyAlignment="1">
      <alignment horizontal="center" vertical="center"/>
    </xf>
    <xf numFmtId="3" fontId="90" fillId="30" borderId="3" xfId="0" quotePrefix="1" applyNumberFormat="1" applyFont="1" applyFill="1" applyBorder="1" applyAlignment="1">
      <alignment horizontal="center" vertical="center"/>
    </xf>
    <xf numFmtId="3" fontId="72" fillId="30" borderId="3" xfId="0" quotePrefix="1" applyNumberFormat="1" applyFont="1" applyFill="1" applyBorder="1" applyAlignment="1">
      <alignment horizontal="center" vertical="center"/>
    </xf>
    <xf numFmtId="3" fontId="72" fillId="30" borderId="3" xfId="0" applyNumberFormat="1" applyFont="1" applyFill="1" applyBorder="1" applyAlignment="1">
      <alignment horizontal="center" vertical="center"/>
    </xf>
    <xf numFmtId="3" fontId="90" fillId="30" borderId="3" xfId="0" applyNumberFormat="1" applyFont="1" applyFill="1" applyBorder="1" applyAlignment="1">
      <alignment horizontal="center" vertical="center"/>
    </xf>
    <xf numFmtId="177" fontId="78" fillId="30" borderId="3" xfId="0" applyNumberFormat="1" applyFont="1" applyFill="1" applyBorder="1" applyAlignment="1">
      <alignment horizontal="center" vertical="center"/>
    </xf>
    <xf numFmtId="177" fontId="78" fillId="29" borderId="3" xfId="0" applyNumberFormat="1" applyFont="1" applyFill="1" applyBorder="1" applyAlignment="1">
      <alignment horizontal="right" vertical="center" wrapText="1"/>
    </xf>
    <xf numFmtId="177" fontId="78" fillId="29" borderId="3" xfId="0" applyNumberFormat="1" applyFont="1" applyFill="1" applyBorder="1" applyAlignment="1">
      <alignment horizontal="center" vertical="center"/>
    </xf>
    <xf numFmtId="3" fontId="78" fillId="30" borderId="15" xfId="0" applyNumberFormat="1" applyFont="1" applyFill="1" applyBorder="1" applyAlignment="1">
      <alignment horizontal="center" vertical="center" wrapText="1"/>
    </xf>
    <xf numFmtId="3" fontId="78" fillId="30" borderId="16" xfId="0" applyNumberFormat="1" applyFont="1" applyFill="1" applyBorder="1" applyAlignment="1">
      <alignment horizontal="center" vertical="center" wrapText="1"/>
    </xf>
    <xf numFmtId="177" fontId="82" fillId="29" borderId="3" xfId="0" applyNumberFormat="1" applyFont="1" applyFill="1" applyBorder="1" applyAlignment="1">
      <alignment horizontal="center" vertical="center" wrapText="1"/>
    </xf>
    <xf numFmtId="177" fontId="84" fillId="29" borderId="3" xfId="0" applyNumberFormat="1" applyFont="1" applyFill="1" applyBorder="1" applyAlignment="1">
      <alignment horizontal="center" vertical="center"/>
    </xf>
    <xf numFmtId="177" fontId="78" fillId="30" borderId="3" xfId="0" applyNumberFormat="1" applyFont="1" applyFill="1" applyBorder="1" applyAlignment="1">
      <alignment horizontal="right" vertical="center" wrapText="1"/>
    </xf>
    <xf numFmtId="177" fontId="72" fillId="30" borderId="3" xfId="0" applyNumberFormat="1" applyFont="1" applyFill="1" applyBorder="1" applyAlignment="1">
      <alignment horizontal="center" vertical="center" wrapText="1"/>
    </xf>
    <xf numFmtId="177" fontId="72" fillId="32" borderId="3" xfId="0" applyNumberFormat="1" applyFont="1" applyFill="1" applyBorder="1" applyAlignment="1">
      <alignment horizontal="center" vertical="center" wrapText="1"/>
    </xf>
    <xf numFmtId="177" fontId="72" fillId="29" borderId="3" xfId="0" applyNumberFormat="1" applyFont="1" applyFill="1" applyBorder="1" applyAlignment="1">
      <alignment horizontal="center" vertical="center" wrapText="1"/>
    </xf>
    <xf numFmtId="177" fontId="90" fillId="30" borderId="3" xfId="0" applyNumberFormat="1" applyFont="1" applyFill="1" applyBorder="1" applyAlignment="1">
      <alignment horizontal="center" vertical="center" wrapText="1"/>
    </xf>
    <xf numFmtId="177" fontId="90" fillId="32" borderId="3" xfId="0" applyNumberFormat="1" applyFont="1" applyFill="1" applyBorder="1" applyAlignment="1">
      <alignment horizontal="center" vertical="center" wrapText="1"/>
    </xf>
    <xf numFmtId="177" fontId="90" fillId="29" borderId="3" xfId="0" applyNumberFormat="1" applyFont="1" applyFill="1" applyBorder="1" applyAlignment="1">
      <alignment horizontal="center" vertical="center" wrapText="1"/>
    </xf>
    <xf numFmtId="177" fontId="72" fillId="29" borderId="3" xfId="0" quotePrefix="1" applyNumberFormat="1" applyFont="1" applyFill="1" applyBorder="1" applyAlignment="1">
      <alignment horizontal="center" vertical="center"/>
    </xf>
    <xf numFmtId="177" fontId="72" fillId="29" borderId="3" xfId="0" applyNumberFormat="1" applyFont="1" applyFill="1" applyBorder="1" applyAlignment="1">
      <alignment horizontal="center" vertical="center"/>
    </xf>
    <xf numFmtId="177" fontId="90" fillId="29" borderId="3" xfId="0" applyNumberFormat="1" applyFont="1" applyFill="1" applyBorder="1" applyAlignment="1">
      <alignment horizontal="center" vertical="center"/>
    </xf>
    <xf numFmtId="177" fontId="90" fillId="30" borderId="3" xfId="0" applyNumberFormat="1" applyFont="1" applyFill="1" applyBorder="1" applyAlignment="1">
      <alignment horizontal="center" vertical="center"/>
    </xf>
    <xf numFmtId="177" fontId="90" fillId="32" borderId="3" xfId="0" applyNumberFormat="1" applyFont="1" applyFill="1" applyBorder="1" applyAlignment="1">
      <alignment horizontal="center" vertical="center"/>
    </xf>
    <xf numFmtId="0" fontId="108" fillId="29" borderId="0" xfId="0" applyFont="1" applyFill="1" applyAlignment="1">
      <alignment horizontal="right"/>
    </xf>
    <xf numFmtId="169" fontId="108" fillId="29" borderId="0" xfId="0" applyNumberFormat="1" applyFont="1" applyFill="1" applyAlignment="1">
      <alignment horizontal="right"/>
    </xf>
    <xf numFmtId="0" fontId="109" fillId="29" borderId="0" xfId="0" applyFont="1" applyFill="1"/>
    <xf numFmtId="4" fontId="109" fillId="29" borderId="0" xfId="0" applyNumberFormat="1" applyFont="1" applyFill="1"/>
    <xf numFmtId="177" fontId="78" fillId="29" borderId="3" xfId="0" applyNumberFormat="1" applyFont="1" applyFill="1" applyBorder="1" applyAlignment="1">
      <alignment vertical="center" wrapText="1"/>
    </xf>
    <xf numFmtId="0" fontId="102" fillId="29" borderId="0" xfId="0" applyFont="1" applyFill="1" applyAlignment="1">
      <alignment horizontal="center" vertical="center"/>
    </xf>
    <xf numFmtId="0" fontId="105" fillId="29" borderId="44" xfId="0" applyFont="1" applyFill="1" applyBorder="1" applyAlignment="1">
      <alignment horizontal="center" vertical="center" wrapText="1"/>
    </xf>
    <xf numFmtId="0" fontId="105" fillId="29" borderId="47" xfId="0" applyFont="1" applyFill="1" applyBorder="1" applyAlignment="1">
      <alignment horizontal="center" vertical="center" wrapText="1"/>
    </xf>
    <xf numFmtId="0" fontId="105" fillId="29" borderId="50" xfId="0" applyFont="1" applyFill="1" applyBorder="1" applyAlignment="1">
      <alignment horizontal="center" vertical="center" wrapText="1"/>
    </xf>
    <xf numFmtId="0" fontId="105" fillId="29" borderId="45" xfId="0" applyFont="1" applyFill="1" applyBorder="1" applyAlignment="1">
      <alignment horizontal="center" vertical="center" wrapText="1"/>
    </xf>
    <xf numFmtId="0" fontId="105" fillId="29" borderId="21" xfId="0" applyFont="1" applyFill="1" applyBorder="1" applyAlignment="1">
      <alignment horizontal="center" vertical="center" wrapText="1"/>
    </xf>
    <xf numFmtId="0" fontId="105" fillId="29" borderId="46" xfId="0" applyFont="1" applyFill="1" applyBorder="1" applyAlignment="1">
      <alignment horizontal="center" vertical="center" wrapText="1"/>
    </xf>
    <xf numFmtId="0" fontId="105" fillId="29" borderId="48" xfId="0" applyFont="1" applyFill="1" applyBorder="1" applyAlignment="1">
      <alignment horizontal="center" vertical="center" wrapText="1"/>
    </xf>
    <xf numFmtId="0" fontId="105" fillId="29" borderId="49" xfId="0" applyFont="1" applyFill="1" applyBorder="1" applyAlignment="1">
      <alignment horizontal="center" vertical="center" wrapText="1"/>
    </xf>
    <xf numFmtId="0" fontId="96" fillId="29" borderId="0" xfId="0" applyFont="1" applyFill="1" applyAlignment="1">
      <alignment horizontal="center" vertical="center"/>
    </xf>
    <xf numFmtId="0" fontId="78" fillId="29" borderId="17" xfId="0" applyFont="1" applyFill="1" applyBorder="1" applyAlignment="1">
      <alignment horizontal="left" vertical="center" wrapText="1"/>
    </xf>
    <xf numFmtId="0" fontId="5" fillId="29" borderId="0" xfId="0" applyFont="1" applyFill="1" applyAlignment="1">
      <alignment horizontal="left" vertical="top"/>
    </xf>
    <xf numFmtId="0" fontId="5" fillId="29" borderId="0" xfId="0" applyFont="1" applyFill="1" applyAlignment="1">
      <alignment horizontal="center" vertical="top"/>
    </xf>
    <xf numFmtId="0" fontId="75" fillId="29" borderId="20" xfId="0" applyFont="1" applyFill="1" applyBorder="1" applyAlignment="1" applyProtection="1">
      <alignment horizontal="center" vertical="center" wrapText="1"/>
      <protection locked="0"/>
    </xf>
    <xf numFmtId="0" fontId="75" fillId="29" borderId="21" xfId="0" applyFont="1" applyFill="1" applyBorder="1" applyAlignment="1" applyProtection="1">
      <alignment horizontal="center" vertical="center" wrapText="1"/>
      <protection locked="0"/>
    </xf>
    <xf numFmtId="0" fontId="75" fillId="29" borderId="22" xfId="0" applyFont="1" applyFill="1" applyBorder="1" applyAlignment="1" applyProtection="1">
      <alignment horizontal="center" vertical="center" wrapText="1"/>
      <protection locked="0"/>
    </xf>
    <xf numFmtId="0" fontId="75" fillId="29" borderId="20" xfId="0" applyFont="1" applyFill="1" applyBorder="1" applyAlignment="1">
      <alignment horizontal="center" vertical="center" wrapText="1"/>
    </xf>
    <xf numFmtId="0" fontId="75" fillId="29" borderId="21" xfId="0" applyFont="1" applyFill="1" applyBorder="1" applyAlignment="1">
      <alignment horizontal="center" vertical="center" wrapText="1"/>
    </xf>
    <xf numFmtId="0" fontId="75" fillId="29" borderId="22" xfId="0" applyFont="1" applyFill="1" applyBorder="1" applyAlignment="1">
      <alignment horizontal="center" vertical="center" wrapText="1"/>
    </xf>
    <xf numFmtId="0" fontId="75" fillId="29" borderId="33" xfId="0" applyFont="1" applyFill="1" applyBorder="1" applyAlignment="1">
      <alignment horizontal="center" vertical="center" wrapText="1"/>
    </xf>
    <xf numFmtId="0" fontId="75" fillId="29" borderId="34" xfId="0" applyFont="1" applyFill="1" applyBorder="1" applyAlignment="1">
      <alignment horizontal="center" vertical="center" wrapText="1"/>
    </xf>
    <xf numFmtId="0" fontId="75" fillId="29" borderId="35" xfId="0" applyFont="1" applyFill="1" applyBorder="1" applyAlignment="1">
      <alignment horizontal="center" vertical="center" wrapText="1"/>
    </xf>
    <xf numFmtId="0" fontId="75" fillId="29" borderId="23" xfId="238" applyFont="1" applyFill="1" applyBorder="1" applyAlignment="1">
      <alignment horizontal="center" vertical="center" wrapText="1"/>
    </xf>
    <xf numFmtId="0" fontId="75" fillId="29" borderId="24" xfId="238" applyFont="1" applyFill="1" applyBorder="1" applyAlignment="1">
      <alignment horizontal="center" vertical="center" wrapText="1"/>
    </xf>
    <xf numFmtId="0" fontId="75" fillId="29" borderId="25" xfId="238" applyFont="1" applyFill="1" applyBorder="1" applyAlignment="1">
      <alignment horizontal="center" vertical="center" wrapText="1"/>
    </xf>
    <xf numFmtId="0" fontId="78" fillId="29" borderId="0" xfId="0" applyFont="1" applyFill="1" applyAlignment="1">
      <alignment horizontal="center" vertical="center" wrapText="1"/>
    </xf>
    <xf numFmtId="170" fontId="78" fillId="29" borderId="0" xfId="0" applyNumberFormat="1" applyFont="1" applyFill="1" applyAlignment="1" applyProtection="1">
      <alignment horizontal="center" vertical="center" wrapText="1"/>
      <protection locked="0"/>
    </xf>
    <xf numFmtId="0" fontId="73" fillId="29" borderId="0" xfId="0" applyFont="1" applyFill="1" applyAlignment="1">
      <alignment horizontal="center" vertical="center"/>
    </xf>
    <xf numFmtId="0" fontId="78" fillId="29" borderId="3" xfId="0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/>
    </xf>
    <xf numFmtId="0" fontId="88" fillId="29" borderId="13" xfId="0" applyFont="1" applyFill="1" applyBorder="1" applyAlignment="1">
      <alignment horizontal="center" vertical="center"/>
    </xf>
    <xf numFmtId="0" fontId="74" fillId="29" borderId="0" xfId="0" applyFont="1" applyFill="1" applyAlignment="1">
      <alignment horizontal="center" vertical="center"/>
    </xf>
    <xf numFmtId="0" fontId="75" fillId="29" borderId="15" xfId="0" applyFont="1" applyFill="1" applyBorder="1" applyAlignment="1">
      <alignment horizontal="left" vertical="center" wrapText="1"/>
    </xf>
    <xf numFmtId="0" fontId="75" fillId="29" borderId="17" xfId="0" applyFont="1" applyFill="1" applyBorder="1" applyAlignment="1">
      <alignment horizontal="left" vertical="center" wrapText="1"/>
    </xf>
    <xf numFmtId="0" fontId="75" fillId="29" borderId="16" xfId="0" applyFont="1" applyFill="1" applyBorder="1" applyAlignment="1">
      <alignment horizontal="left" vertical="center" wrapText="1"/>
    </xf>
    <xf numFmtId="0" fontId="74" fillId="29" borderId="20" xfId="0" applyFont="1" applyFill="1" applyBorder="1" applyAlignment="1">
      <alignment horizontal="center" vertical="center" wrapText="1"/>
    </xf>
    <xf numFmtId="0" fontId="74" fillId="29" borderId="21" xfId="0" applyFont="1" applyFill="1" applyBorder="1" applyAlignment="1">
      <alignment horizontal="center" vertical="center" wrapText="1"/>
    </xf>
    <xf numFmtId="0" fontId="74" fillId="29" borderId="22" xfId="0" applyFont="1" applyFill="1" applyBorder="1" applyAlignment="1">
      <alignment horizontal="center" vertical="center" wrapText="1"/>
    </xf>
    <xf numFmtId="0" fontId="78" fillId="29" borderId="3" xfId="246" applyFont="1" applyFill="1" applyBorder="1" applyAlignment="1">
      <alignment horizontal="center" vertical="center"/>
    </xf>
    <xf numFmtId="0" fontId="74" fillId="29" borderId="0" xfId="0" applyFont="1" applyFill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0" fontId="73" fillId="29" borderId="15" xfId="0" applyFont="1" applyFill="1" applyBorder="1" applyAlignment="1">
      <alignment horizontal="left" vertical="center" wrapText="1"/>
    </xf>
    <xf numFmtId="0" fontId="73" fillId="29" borderId="17" xfId="0" applyFont="1" applyFill="1" applyBorder="1" applyAlignment="1">
      <alignment horizontal="left" vertical="center" wrapText="1"/>
    </xf>
    <xf numFmtId="0" fontId="73" fillId="29" borderId="16" xfId="0" applyFont="1" applyFill="1" applyBorder="1" applyAlignment="1">
      <alignment horizontal="left" vertical="center" wrapText="1"/>
    </xf>
    <xf numFmtId="0" fontId="4" fillId="29" borderId="0" xfId="0" applyFont="1" applyFill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/>
    </xf>
    <xf numFmtId="0" fontId="77" fillId="29" borderId="15" xfId="0" applyFont="1" applyFill="1" applyBorder="1" applyAlignment="1" applyProtection="1">
      <alignment horizontal="center" vertical="center" wrapText="1"/>
      <protection locked="0"/>
    </xf>
    <xf numFmtId="0" fontId="77" fillId="29" borderId="17" xfId="0" applyFont="1" applyFill="1" applyBorder="1" applyAlignment="1" applyProtection="1">
      <alignment horizontal="center" vertical="center" wrapText="1"/>
      <protection locked="0"/>
    </xf>
    <xf numFmtId="0" fontId="77" fillId="29" borderId="16" xfId="0" applyFont="1" applyFill="1" applyBorder="1" applyAlignment="1" applyProtection="1">
      <alignment horizontal="center" vertical="center" wrapText="1"/>
      <protection locked="0"/>
    </xf>
    <xf numFmtId="0" fontId="5" fillId="29" borderId="3" xfId="0" applyFont="1" applyFill="1" applyBorder="1" applyAlignment="1">
      <alignment horizontal="center" vertical="center"/>
    </xf>
    <xf numFmtId="0" fontId="74" fillId="29" borderId="0" xfId="246" applyFont="1" applyFill="1" applyAlignment="1">
      <alignment horizontal="center" vertical="center"/>
    </xf>
    <xf numFmtId="0" fontId="9" fillId="29" borderId="0" xfId="0" applyFont="1" applyFill="1" applyAlignment="1">
      <alignment horizontal="center" vertical="top"/>
    </xf>
    <xf numFmtId="0" fontId="4" fillId="29" borderId="3" xfId="246" applyFont="1" applyFill="1" applyBorder="1" applyAlignment="1">
      <alignment horizontal="center" vertical="center" wrapText="1"/>
    </xf>
    <xf numFmtId="0" fontId="5" fillId="29" borderId="13" xfId="246" applyFont="1" applyFill="1" applyBorder="1" applyAlignment="1">
      <alignment horizontal="right" vertical="center"/>
    </xf>
    <xf numFmtId="0" fontId="5" fillId="29" borderId="3" xfId="246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 wrapText="1"/>
    </xf>
    <xf numFmtId="0" fontId="5" fillId="29" borderId="15" xfId="0" applyFont="1" applyFill="1" applyBorder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5" fillId="29" borderId="15" xfId="246" applyFont="1" applyFill="1" applyBorder="1" applyAlignment="1">
      <alignment horizontal="center" vertical="center"/>
    </xf>
    <xf numFmtId="0" fontId="5" fillId="29" borderId="17" xfId="246" applyFont="1" applyFill="1" applyBorder="1" applyAlignment="1">
      <alignment horizontal="center" vertical="center"/>
    </xf>
    <xf numFmtId="0" fontId="5" fillId="29" borderId="16" xfId="246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 shrinkToFit="1"/>
    </xf>
    <xf numFmtId="0" fontId="4" fillId="29" borderId="3" xfId="0" applyFont="1" applyFill="1" applyBorder="1" applyAlignment="1">
      <alignment horizontal="left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 wrapText="1"/>
    </xf>
    <xf numFmtId="49" fontId="4" fillId="29" borderId="15" xfId="0" applyNumberFormat="1" applyFont="1" applyFill="1" applyBorder="1" applyAlignment="1">
      <alignment horizontal="left" vertical="center"/>
    </xf>
    <xf numFmtId="49" fontId="4" fillId="29" borderId="16" xfId="0" applyNumberFormat="1" applyFont="1" applyFill="1" applyBorder="1" applyAlignment="1">
      <alignment horizontal="left" vertical="center"/>
    </xf>
    <xf numFmtId="0" fontId="4" fillId="29" borderId="3" xfId="0" applyFont="1" applyFill="1" applyBorder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left" vertical="center"/>
    </xf>
    <xf numFmtId="0" fontId="9" fillId="29" borderId="3" xfId="0" applyFont="1" applyFill="1" applyBorder="1" applyAlignment="1">
      <alignment horizontal="center" vertical="center"/>
    </xf>
    <xf numFmtId="170" fontId="72" fillId="29" borderId="0" xfId="0" applyNumberFormat="1" applyFont="1" applyFill="1" applyAlignment="1">
      <alignment horizontal="center" vertical="center" wrapText="1"/>
    </xf>
    <xf numFmtId="0" fontId="90" fillId="29" borderId="0" xfId="0" applyFont="1" applyFill="1" applyBorder="1" applyAlignment="1">
      <alignment horizontal="center" vertical="center"/>
    </xf>
    <xf numFmtId="0" fontId="4" fillId="29" borderId="15" xfId="0" applyFont="1" applyFill="1" applyBorder="1" applyAlignment="1">
      <alignment horizontal="left" vertical="center"/>
    </xf>
    <xf numFmtId="0" fontId="4" fillId="29" borderId="16" xfId="0" applyFont="1" applyFill="1" applyBorder="1" applyAlignment="1">
      <alignment horizontal="left" vertical="center"/>
    </xf>
    <xf numFmtId="49" fontId="6" fillId="29" borderId="3" xfId="0" applyNumberFormat="1" applyFont="1" applyFill="1" applyBorder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left" vertical="center" wrapText="1"/>
    </xf>
    <xf numFmtId="0" fontId="107" fillId="29" borderId="0" xfId="0" applyFont="1" applyFill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center" vertical="center" wrapText="1"/>
    </xf>
    <xf numFmtId="49" fontId="6" fillId="29" borderId="15" xfId="0" applyNumberFormat="1" applyFont="1" applyFill="1" applyBorder="1" applyAlignment="1">
      <alignment horizontal="center" vertical="center" wrapText="1"/>
    </xf>
    <xf numFmtId="49" fontId="6" fillId="29" borderId="16" xfId="0" applyNumberFormat="1" applyFont="1" applyFill="1" applyBorder="1" applyAlignment="1">
      <alignment horizontal="center" vertical="center" wrapText="1"/>
    </xf>
    <xf numFmtId="49" fontId="4" fillId="29" borderId="15" xfId="0" applyNumberFormat="1" applyFont="1" applyFill="1" applyBorder="1" applyAlignment="1">
      <alignment horizontal="left" vertical="center" wrapText="1"/>
    </xf>
    <xf numFmtId="49" fontId="4" fillId="29" borderId="16" xfId="0" applyNumberFormat="1" applyFont="1" applyFill="1" applyBorder="1" applyAlignment="1">
      <alignment horizontal="left" vertical="center" wrapText="1"/>
    </xf>
    <xf numFmtId="49" fontId="5" fillId="29" borderId="15" xfId="0" applyNumberFormat="1" applyFont="1" applyFill="1" applyBorder="1" applyAlignment="1">
      <alignment horizontal="left" vertical="center" wrapText="1"/>
    </xf>
    <xf numFmtId="49" fontId="5" fillId="29" borderId="16" xfId="0" applyNumberFormat="1" applyFont="1" applyFill="1" applyBorder="1" applyAlignment="1">
      <alignment horizontal="left" vertical="center" wrapText="1"/>
    </xf>
    <xf numFmtId="0" fontId="78" fillId="29" borderId="14" xfId="0" applyFont="1" applyFill="1" applyBorder="1" applyAlignment="1">
      <alignment horizontal="center" vertical="center"/>
    </xf>
    <xf numFmtId="0" fontId="78" fillId="29" borderId="19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right" vertical="center"/>
    </xf>
    <xf numFmtId="0" fontId="84" fillId="29" borderId="0" xfId="0" applyFont="1" applyFill="1" applyAlignment="1">
      <alignment horizontal="center" vertical="center" wrapText="1"/>
    </xf>
    <xf numFmtId="170" fontId="84" fillId="29" borderId="0" xfId="0" applyNumberFormat="1" applyFont="1" applyFill="1" applyAlignment="1">
      <alignment horizontal="center" vertical="center" wrapText="1"/>
    </xf>
    <xf numFmtId="0" fontId="84" fillId="29" borderId="0" xfId="0" applyFont="1" applyFill="1" applyBorder="1" applyAlignment="1">
      <alignment horizontal="center" vertical="center"/>
    </xf>
    <xf numFmtId="0" fontId="78" fillId="29" borderId="0" xfId="0" applyFont="1" applyFill="1" applyAlignment="1">
      <alignment horizontal="center" vertical="center"/>
    </xf>
    <xf numFmtId="0" fontId="73" fillId="29" borderId="0" xfId="0" applyFont="1" applyFill="1" applyAlignment="1">
      <alignment horizontal="center" vertical="center" wrapText="1"/>
    </xf>
    <xf numFmtId="170" fontId="78" fillId="29" borderId="0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top"/>
    </xf>
    <xf numFmtId="0" fontId="74" fillId="0" borderId="0" xfId="238" applyFont="1" applyAlignment="1">
      <alignment horizontal="center" vertical="center" wrapText="1"/>
    </xf>
    <xf numFmtId="0" fontId="5" fillId="0" borderId="14" xfId="238" applyFont="1" applyBorder="1" applyAlignment="1">
      <alignment horizontal="center" vertical="center" wrapText="1"/>
    </xf>
    <xf numFmtId="0" fontId="5" fillId="0" borderId="19" xfId="238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3" fontId="78" fillId="29" borderId="15" xfId="0" applyNumberFormat="1" applyFont="1" applyFill="1" applyBorder="1" applyAlignment="1">
      <alignment horizontal="center" vertical="center" wrapText="1"/>
    </xf>
    <xf numFmtId="3" fontId="78" fillId="29" borderId="16" xfId="0" applyNumberFormat="1" applyFont="1" applyFill="1" applyBorder="1" applyAlignment="1">
      <alignment horizontal="center" vertical="center" wrapText="1"/>
    </xf>
    <xf numFmtId="3" fontId="5" fillId="29" borderId="15" xfId="0" applyNumberFormat="1" applyFont="1" applyFill="1" applyBorder="1" applyAlignment="1">
      <alignment horizontal="center" vertical="center" wrapText="1"/>
    </xf>
    <xf numFmtId="3" fontId="5" fillId="29" borderId="17" xfId="0" applyNumberFormat="1" applyFont="1" applyFill="1" applyBorder="1" applyAlignment="1">
      <alignment horizontal="center" vertical="center" wrapText="1"/>
    </xf>
    <xf numFmtId="3" fontId="5" fillId="29" borderId="16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left" vertical="center" wrapText="1"/>
    </xf>
    <xf numFmtId="3" fontId="78" fillId="30" borderId="15" xfId="0" applyNumberFormat="1" applyFont="1" applyFill="1" applyBorder="1" applyAlignment="1">
      <alignment horizontal="center" vertical="center" wrapText="1"/>
    </xf>
    <xf numFmtId="3" fontId="78" fillId="30" borderId="16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 wrapText="1"/>
    </xf>
    <xf numFmtId="0" fontId="78" fillId="29" borderId="16" xfId="0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left" vertical="center" wrapText="1"/>
    </xf>
    <xf numFmtId="0" fontId="78" fillId="29" borderId="15" xfId="0" applyFont="1" applyFill="1" applyBorder="1" applyAlignment="1">
      <alignment horizontal="center" vertical="center"/>
    </xf>
    <xf numFmtId="0" fontId="78" fillId="29" borderId="16" xfId="0" applyFont="1" applyFill="1" applyBorder="1" applyAlignment="1">
      <alignment horizontal="center" vertical="center"/>
    </xf>
    <xf numFmtId="170" fontId="78" fillId="29" borderId="15" xfId="0" applyNumberFormat="1" applyFont="1" applyFill="1" applyBorder="1" applyAlignment="1">
      <alignment horizontal="center" vertical="center"/>
    </xf>
    <xf numFmtId="170" fontId="78" fillId="29" borderId="16" xfId="0" applyNumberFormat="1" applyFont="1" applyFill="1" applyBorder="1" applyAlignment="1">
      <alignment horizontal="center" vertical="center"/>
    </xf>
    <xf numFmtId="170" fontId="5" fillId="29" borderId="15" xfId="0" applyNumberFormat="1" applyFont="1" applyFill="1" applyBorder="1" applyAlignment="1">
      <alignment horizontal="center" vertical="center" wrapText="1"/>
    </xf>
    <xf numFmtId="170" fontId="5" fillId="29" borderId="16" xfId="0" applyNumberFormat="1" applyFont="1" applyFill="1" applyBorder="1" applyAlignment="1">
      <alignment horizontal="center" vertical="center" wrapText="1"/>
    </xf>
    <xf numFmtId="0" fontId="0" fillId="29" borderId="17" xfId="0" applyFill="1" applyBorder="1" applyAlignment="1">
      <alignment horizontal="center" vertical="center" wrapText="1"/>
    </xf>
    <xf numFmtId="0" fontId="0" fillId="29" borderId="16" xfId="0" applyFill="1" applyBorder="1" applyAlignment="1">
      <alignment horizontal="center" vertical="center" wrapText="1"/>
    </xf>
    <xf numFmtId="177" fontId="78" fillId="29" borderId="15" xfId="0" applyNumberFormat="1" applyFont="1" applyFill="1" applyBorder="1" applyAlignment="1">
      <alignment horizontal="center" vertical="center" wrapText="1"/>
    </xf>
    <xf numFmtId="177" fontId="78" fillId="29" borderId="16" xfId="0" applyNumberFormat="1" applyFont="1" applyFill="1" applyBorder="1" applyAlignment="1">
      <alignment horizontal="center" vertical="center" wrapText="1"/>
    </xf>
    <xf numFmtId="170" fontId="5" fillId="29" borderId="15" xfId="0" applyNumberFormat="1" applyFont="1" applyFill="1" applyBorder="1" applyAlignment="1">
      <alignment horizontal="center" vertical="center"/>
    </xf>
    <xf numFmtId="170" fontId="5" fillId="29" borderId="16" xfId="0" applyNumberFormat="1" applyFont="1" applyFill="1" applyBorder="1" applyAlignment="1">
      <alignment horizontal="center" vertical="center"/>
    </xf>
    <xf numFmtId="0" fontId="5" fillId="29" borderId="17" xfId="0" applyFont="1" applyFill="1" applyBorder="1" applyAlignment="1">
      <alignment horizontal="center" vertical="center" wrapText="1"/>
    </xf>
    <xf numFmtId="177" fontId="78" fillId="32" borderId="15" xfId="0" applyNumberFormat="1" applyFont="1" applyFill="1" applyBorder="1" applyAlignment="1">
      <alignment horizontal="center" vertical="center" wrapText="1"/>
    </xf>
    <xf numFmtId="177" fontId="78" fillId="32" borderId="16" xfId="0" applyNumberFormat="1" applyFont="1" applyFill="1" applyBorder="1" applyAlignment="1">
      <alignment horizontal="center" vertical="center" wrapText="1"/>
    </xf>
    <xf numFmtId="0" fontId="5" fillId="29" borderId="15" xfId="0" applyFont="1" applyFill="1" applyBorder="1" applyAlignment="1">
      <alignment horizontal="left" vertical="center" wrapText="1"/>
    </xf>
    <xf numFmtId="0" fontId="5" fillId="29" borderId="17" xfId="0" applyFont="1" applyFill="1" applyBorder="1" applyAlignment="1">
      <alignment horizontal="left" vertical="center" wrapText="1"/>
    </xf>
    <xf numFmtId="0" fontId="5" fillId="29" borderId="16" xfId="0" applyFont="1" applyFill="1" applyBorder="1" applyAlignment="1">
      <alignment horizontal="left" vertical="center" wrapText="1"/>
    </xf>
    <xf numFmtId="0" fontId="73" fillId="29" borderId="3" xfId="0" applyFont="1" applyFill="1" applyBorder="1" applyAlignment="1">
      <alignment horizontal="center" vertical="center"/>
    </xf>
    <xf numFmtId="170" fontId="0" fillId="29" borderId="16" xfId="0" applyNumberFormat="1" applyFill="1" applyBorder="1" applyAlignment="1">
      <alignment horizontal="center" vertical="center"/>
    </xf>
    <xf numFmtId="177" fontId="78" fillId="29" borderId="3" xfId="0" applyNumberFormat="1" applyFont="1" applyFill="1" applyBorder="1" applyAlignment="1">
      <alignment horizontal="center" vertical="center" wrapText="1"/>
    </xf>
    <xf numFmtId="177" fontId="78" fillId="29" borderId="17" xfId="0" applyNumberFormat="1" applyFont="1" applyFill="1" applyBorder="1" applyAlignment="1">
      <alignment horizontal="center" vertical="center" wrapText="1"/>
    </xf>
    <xf numFmtId="177" fontId="78" fillId="30" borderId="15" xfId="0" applyNumberFormat="1" applyFont="1" applyFill="1" applyBorder="1" applyAlignment="1">
      <alignment horizontal="center" vertical="center" wrapText="1"/>
    </xf>
    <xf numFmtId="177" fontId="78" fillId="30" borderId="17" xfId="0" applyNumberFormat="1" applyFont="1" applyFill="1" applyBorder="1" applyAlignment="1">
      <alignment horizontal="center" vertical="center" wrapText="1"/>
    </xf>
    <xf numFmtId="177" fontId="78" fillId="30" borderId="16" xfId="0" applyNumberFormat="1" applyFont="1" applyFill="1" applyBorder="1" applyAlignment="1">
      <alignment horizontal="center" vertical="center" wrapText="1"/>
    </xf>
    <xf numFmtId="178" fontId="78" fillId="29" borderId="15" xfId="207" applyNumberFormat="1" applyFont="1" applyFill="1" applyBorder="1" applyAlignment="1">
      <alignment horizontal="right" vertical="center" wrapText="1"/>
    </xf>
    <xf numFmtId="178" fontId="78" fillId="29" borderId="16" xfId="207" applyNumberFormat="1" applyFont="1" applyFill="1" applyBorder="1" applyAlignment="1">
      <alignment horizontal="right" vertical="center" wrapText="1"/>
    </xf>
    <xf numFmtId="178" fontId="73" fillId="29" borderId="15" xfId="207" applyNumberFormat="1" applyFont="1" applyFill="1" applyBorder="1" applyAlignment="1">
      <alignment horizontal="right" vertical="center" wrapText="1"/>
    </xf>
    <xf numFmtId="178" fontId="73" fillId="29" borderId="16" xfId="207" applyNumberFormat="1" applyFont="1" applyFill="1" applyBorder="1" applyAlignment="1">
      <alignment horizontal="right" vertical="center" wrapText="1"/>
    </xf>
    <xf numFmtId="177" fontId="73" fillId="29" borderId="15" xfId="0" applyNumberFormat="1" applyFont="1" applyFill="1" applyBorder="1" applyAlignment="1">
      <alignment horizontal="center" vertical="center" wrapText="1"/>
    </xf>
    <xf numFmtId="177" fontId="73" fillId="29" borderId="17" xfId="0" applyNumberFormat="1" applyFont="1" applyFill="1" applyBorder="1" applyAlignment="1">
      <alignment horizontal="center" vertical="center" wrapText="1"/>
    </xf>
    <xf numFmtId="177" fontId="73" fillId="29" borderId="16" xfId="0" applyNumberFormat="1" applyFont="1" applyFill="1" applyBorder="1" applyAlignment="1">
      <alignment horizontal="center" vertical="center" wrapText="1"/>
    </xf>
    <xf numFmtId="177" fontId="73" fillId="30" borderId="15" xfId="0" applyNumberFormat="1" applyFont="1" applyFill="1" applyBorder="1" applyAlignment="1">
      <alignment horizontal="center" vertical="center" wrapText="1"/>
    </xf>
    <xf numFmtId="177" fontId="73" fillId="30" borderId="17" xfId="0" applyNumberFormat="1" applyFont="1" applyFill="1" applyBorder="1" applyAlignment="1">
      <alignment horizontal="center" vertical="center" wrapText="1"/>
    </xf>
    <xf numFmtId="177" fontId="73" fillId="30" borderId="16" xfId="0" applyNumberFormat="1" applyFont="1" applyFill="1" applyBorder="1" applyAlignment="1">
      <alignment horizontal="center" vertical="center" wrapText="1"/>
    </xf>
    <xf numFmtId="0" fontId="78" fillId="29" borderId="26" xfId="0" applyFont="1" applyFill="1" applyBorder="1" applyAlignment="1">
      <alignment horizontal="center" vertical="center" wrapText="1"/>
    </xf>
    <xf numFmtId="0" fontId="78" fillId="29" borderId="18" xfId="0" applyFont="1" applyFill="1" applyBorder="1" applyAlignment="1">
      <alignment horizontal="center" vertical="center" wrapText="1"/>
    </xf>
    <xf numFmtId="0" fontId="78" fillId="29" borderId="27" xfId="0" applyFont="1" applyFill="1" applyBorder="1" applyAlignment="1">
      <alignment horizontal="center" vertical="center" wrapText="1"/>
    </xf>
    <xf numFmtId="0" fontId="78" fillId="29" borderId="28" xfId="0" applyFont="1" applyFill="1" applyBorder="1" applyAlignment="1">
      <alignment horizontal="center" vertical="center" wrapText="1"/>
    </xf>
    <xf numFmtId="0" fontId="78" fillId="29" borderId="13" xfId="0" applyFont="1" applyFill="1" applyBorder="1" applyAlignment="1">
      <alignment horizontal="center" vertical="center" wrapText="1"/>
    </xf>
    <xf numFmtId="0" fontId="78" fillId="29" borderId="29" xfId="0" applyFont="1" applyFill="1" applyBorder="1" applyAlignment="1">
      <alignment horizontal="center" vertical="center" wrapText="1"/>
    </xf>
    <xf numFmtId="0" fontId="74" fillId="29" borderId="0" xfId="0" applyFont="1" applyFill="1" applyAlignment="1">
      <alignment vertical="center"/>
    </xf>
    <xf numFmtId="0" fontId="5" fillId="29" borderId="3" xfId="0" applyFont="1" applyFill="1" applyBorder="1" applyAlignment="1">
      <alignment horizontal="center" vertical="center" wrapText="1"/>
    </xf>
    <xf numFmtId="177" fontId="73" fillId="32" borderId="15" xfId="0" applyNumberFormat="1" applyFont="1" applyFill="1" applyBorder="1" applyAlignment="1">
      <alignment horizontal="center" vertical="center" wrapText="1"/>
    </xf>
    <xf numFmtId="177" fontId="73" fillId="32" borderId="17" xfId="0" applyNumberFormat="1" applyFont="1" applyFill="1" applyBorder="1" applyAlignment="1">
      <alignment horizontal="center" vertical="center" wrapText="1"/>
    </xf>
    <xf numFmtId="177" fontId="73" fillId="32" borderId="16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3" fontId="73" fillId="29" borderId="15" xfId="0" applyNumberFormat="1" applyFont="1" applyFill="1" applyBorder="1" applyAlignment="1">
      <alignment horizontal="center" vertical="center" wrapText="1"/>
    </xf>
    <xf numFmtId="3" fontId="73" fillId="29" borderId="16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center" vertical="center" wrapText="1"/>
    </xf>
    <xf numFmtId="0" fontId="78" fillId="29" borderId="17" xfId="0" applyFont="1" applyFill="1" applyBorder="1" applyAlignment="1">
      <alignment horizontal="center" vertical="center"/>
    </xf>
    <xf numFmtId="3" fontId="73" fillId="29" borderId="3" xfId="0" applyNumberFormat="1" applyFont="1" applyFill="1" applyBorder="1" applyAlignment="1">
      <alignment horizontal="center" vertical="center" wrapText="1"/>
    </xf>
    <xf numFmtId="0" fontId="73" fillId="29" borderId="15" xfId="0" applyFont="1" applyFill="1" applyBorder="1" applyAlignment="1">
      <alignment horizontal="left" vertical="center"/>
    </xf>
    <xf numFmtId="0" fontId="73" fillId="29" borderId="17" xfId="0" applyFont="1" applyFill="1" applyBorder="1" applyAlignment="1">
      <alignment horizontal="left" vertical="center"/>
    </xf>
    <xf numFmtId="0" fontId="73" fillId="29" borderId="16" xfId="0" applyFont="1" applyFill="1" applyBorder="1" applyAlignment="1">
      <alignment horizontal="left" vertical="center"/>
    </xf>
    <xf numFmtId="3" fontId="78" fillId="32" borderId="15" xfId="0" applyNumberFormat="1" applyFont="1" applyFill="1" applyBorder="1" applyAlignment="1">
      <alignment horizontal="center" vertical="center" wrapText="1"/>
    </xf>
    <xf numFmtId="3" fontId="78" fillId="32" borderId="16" xfId="0" applyNumberFormat="1" applyFont="1" applyFill="1" applyBorder="1" applyAlignment="1">
      <alignment horizontal="center" vertical="center" wrapText="1"/>
    </xf>
    <xf numFmtId="0" fontId="5" fillId="29" borderId="0" xfId="0" applyFont="1" applyFill="1" applyAlignment="1">
      <alignment vertical="center"/>
    </xf>
    <xf numFmtId="0" fontId="78" fillId="29" borderId="17" xfId="0" applyFont="1" applyFill="1" applyBorder="1" applyAlignment="1">
      <alignment horizontal="center" vertical="center" wrapText="1"/>
    </xf>
    <xf numFmtId="177" fontId="73" fillId="29" borderId="0" xfId="0" applyNumberFormat="1" applyFont="1" applyFill="1" applyAlignment="1">
      <alignment horizontal="center" vertical="center" wrapText="1"/>
    </xf>
    <xf numFmtId="177" fontId="78" fillId="29" borderId="0" xfId="0" applyNumberFormat="1" applyFont="1" applyFill="1" applyAlignment="1">
      <alignment horizontal="center" vertical="center" wrapText="1"/>
    </xf>
    <xf numFmtId="0" fontId="5" fillId="29" borderId="0" xfId="0" applyFont="1" applyFill="1" applyAlignment="1">
      <alignment horizontal="center" vertical="center"/>
    </xf>
    <xf numFmtId="0" fontId="0" fillId="29" borderId="0" xfId="0" applyFill="1" applyAlignment="1">
      <alignment horizontal="center" vertical="center"/>
    </xf>
    <xf numFmtId="0" fontId="78" fillId="29" borderId="0" xfId="0" applyFont="1" applyFill="1" applyAlignment="1">
      <alignment horizontal="justify" vertical="center" wrapText="1" shrinkToFit="1"/>
    </xf>
    <xf numFmtId="3" fontId="78" fillId="29" borderId="3" xfId="0" applyNumberFormat="1" applyFont="1" applyFill="1" applyBorder="1" applyAlignment="1">
      <alignment horizontal="center" vertical="center" wrapText="1"/>
    </xf>
    <xf numFmtId="2" fontId="78" fillId="29" borderId="14" xfId="0" applyNumberFormat="1" applyFont="1" applyFill="1" applyBorder="1" applyAlignment="1">
      <alignment horizontal="center" vertical="center" wrapText="1"/>
    </xf>
    <xf numFmtId="2" fontId="78" fillId="29" borderId="19" xfId="0" applyNumberFormat="1" applyFont="1" applyFill="1" applyBorder="1" applyAlignment="1">
      <alignment horizontal="center" vertical="center" wrapText="1"/>
    </xf>
    <xf numFmtId="0" fontId="78" fillId="29" borderId="26" xfId="0" applyFont="1" applyFill="1" applyBorder="1" applyAlignment="1">
      <alignment horizontal="center" vertical="center" wrapText="1" shrinkToFit="1"/>
    </xf>
    <xf numFmtId="0" fontId="78" fillId="29" borderId="18" xfId="0" applyFont="1" applyFill="1" applyBorder="1" applyAlignment="1">
      <alignment horizontal="center" vertical="center" wrapText="1" shrinkToFit="1"/>
    </xf>
    <xf numFmtId="0" fontId="78" fillId="29" borderId="27" xfId="0" applyFont="1" applyFill="1" applyBorder="1" applyAlignment="1">
      <alignment horizontal="center" vertical="center" wrapText="1" shrinkToFit="1"/>
    </xf>
    <xf numFmtId="0" fontId="78" fillId="29" borderId="30" xfId="0" applyFont="1" applyFill="1" applyBorder="1" applyAlignment="1">
      <alignment horizontal="center" vertical="center" wrapText="1" shrinkToFit="1"/>
    </xf>
    <xf numFmtId="0" fontId="78" fillId="29" borderId="0" xfId="0" applyFont="1" applyFill="1" applyAlignment="1">
      <alignment horizontal="center" vertical="center" wrapText="1" shrinkToFit="1"/>
    </xf>
    <xf numFmtId="0" fontId="78" fillId="29" borderId="31" xfId="0" applyFont="1" applyFill="1" applyBorder="1" applyAlignment="1">
      <alignment horizontal="center" vertical="center" wrapText="1" shrinkToFit="1"/>
    </xf>
    <xf numFmtId="0" fontId="78" fillId="29" borderId="28" xfId="0" applyFont="1" applyFill="1" applyBorder="1" applyAlignment="1">
      <alignment horizontal="center" vertical="center" wrapText="1" shrinkToFit="1"/>
    </xf>
    <xf numFmtId="0" fontId="78" fillId="29" borderId="13" xfId="0" applyFont="1" applyFill="1" applyBorder="1" applyAlignment="1">
      <alignment horizontal="center" vertical="center" wrapText="1" shrinkToFit="1"/>
    </xf>
    <xf numFmtId="0" fontId="78" fillId="29" borderId="29" xfId="0" applyFont="1" applyFill="1" applyBorder="1" applyAlignment="1">
      <alignment horizontal="center" vertical="center" wrapText="1" shrinkToFit="1"/>
    </xf>
    <xf numFmtId="178" fontId="73" fillId="29" borderId="15" xfId="0" applyNumberFormat="1" applyFont="1" applyFill="1" applyBorder="1" applyAlignment="1">
      <alignment horizontal="center" vertical="center" wrapText="1"/>
    </xf>
    <xf numFmtId="178" fontId="73" fillId="29" borderId="17" xfId="0" applyNumberFormat="1" applyFont="1" applyFill="1" applyBorder="1" applyAlignment="1">
      <alignment horizontal="center" vertical="center" wrapText="1"/>
    </xf>
    <xf numFmtId="178" fontId="73" fillId="29" borderId="16" xfId="0" applyNumberFormat="1" applyFont="1" applyFill="1" applyBorder="1" applyAlignment="1">
      <alignment horizontal="center" vertical="center" wrapText="1"/>
    </xf>
    <xf numFmtId="2" fontId="78" fillId="29" borderId="15" xfId="0" applyNumberFormat="1" applyFont="1" applyFill="1" applyBorder="1" applyAlignment="1">
      <alignment horizontal="center" vertical="center" wrapText="1"/>
    </xf>
    <xf numFmtId="2" fontId="78" fillId="29" borderId="17" xfId="0" applyNumberFormat="1" applyFont="1" applyFill="1" applyBorder="1" applyAlignment="1">
      <alignment horizontal="center" vertical="center" wrapText="1"/>
    </xf>
    <xf numFmtId="2" fontId="78" fillId="29" borderId="16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/>
    </xf>
    <xf numFmtId="0" fontId="78" fillId="29" borderId="16" xfId="0" applyFont="1" applyFill="1" applyBorder="1" applyAlignment="1">
      <alignment horizontal="center"/>
    </xf>
    <xf numFmtId="0" fontId="70" fillId="29" borderId="0" xfId="0" applyFont="1" applyFill="1" applyAlignment="1">
      <alignment vertical="center" wrapText="1"/>
    </xf>
    <xf numFmtId="0" fontId="0" fillId="29" borderId="0" xfId="0" applyFill="1" applyAlignment="1">
      <alignment vertical="center" wrapText="1"/>
    </xf>
    <xf numFmtId="0" fontId="78" fillId="29" borderId="0" xfId="0" applyFont="1" applyFill="1" applyAlignment="1">
      <alignment horizontal="right" vertical="center"/>
    </xf>
    <xf numFmtId="0" fontId="78" fillId="29" borderId="14" xfId="0" applyFont="1" applyFill="1" applyBorder="1" applyAlignment="1">
      <alignment horizontal="center" vertical="center" wrapText="1" shrinkToFit="1"/>
    </xf>
    <xf numFmtId="0" fontId="78" fillId="29" borderId="32" xfId="0" applyFont="1" applyFill="1" applyBorder="1" applyAlignment="1">
      <alignment horizontal="center" vertical="center" wrapText="1" shrinkToFit="1"/>
    </xf>
    <xf numFmtId="0" fontId="78" fillId="29" borderId="19" xfId="0" applyFont="1" applyFill="1" applyBorder="1" applyAlignment="1">
      <alignment horizontal="center" vertical="center" wrapText="1" shrinkToFit="1"/>
    </xf>
    <xf numFmtId="179" fontId="78" fillId="29" borderId="15" xfId="0" applyNumberFormat="1" applyFont="1" applyFill="1" applyBorder="1" applyAlignment="1">
      <alignment horizontal="center" vertical="center" wrapText="1"/>
    </xf>
    <xf numFmtId="179" fontId="78" fillId="29" borderId="17" xfId="0" applyNumberFormat="1" applyFont="1" applyFill="1" applyBorder="1" applyAlignment="1">
      <alignment horizontal="center" vertical="center" wrapText="1"/>
    </xf>
    <xf numFmtId="179" fontId="78" fillId="29" borderId="16" xfId="0" applyNumberFormat="1" applyFont="1" applyFill="1" applyBorder="1" applyAlignment="1">
      <alignment horizontal="center" vertical="center" wrapText="1"/>
    </xf>
    <xf numFmtId="179" fontId="73" fillId="29" borderId="15" xfId="0" applyNumberFormat="1" applyFont="1" applyFill="1" applyBorder="1" applyAlignment="1">
      <alignment horizontal="center" vertical="center" wrapText="1"/>
    </xf>
    <xf numFmtId="179" fontId="73" fillId="29" borderId="17" xfId="0" applyNumberFormat="1" applyFont="1" applyFill="1" applyBorder="1" applyAlignment="1">
      <alignment horizontal="center" vertical="center" wrapText="1"/>
    </xf>
    <xf numFmtId="179" fontId="73" fillId="29" borderId="16" xfId="0" applyNumberFormat="1" applyFont="1" applyFill="1" applyBorder="1" applyAlignment="1">
      <alignment horizontal="center" vertical="center" wrapText="1"/>
    </xf>
    <xf numFmtId="0" fontId="78" fillId="29" borderId="18" xfId="0" applyFont="1" applyFill="1" applyBorder="1" applyAlignment="1">
      <alignment horizontal="center" vertical="center"/>
    </xf>
    <xf numFmtId="0" fontId="78" fillId="29" borderId="27" xfId="0" applyFont="1" applyFill="1" applyBorder="1" applyAlignment="1">
      <alignment horizontal="center" vertical="center"/>
    </xf>
    <xf numFmtId="0" fontId="78" fillId="29" borderId="28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center" vertical="center"/>
    </xf>
    <xf numFmtId="0" fontId="78" fillId="29" borderId="29" xfId="0" applyFont="1" applyFill="1" applyBorder="1" applyAlignment="1">
      <alignment horizontal="center" vertical="center"/>
    </xf>
    <xf numFmtId="178" fontId="78" fillId="29" borderId="15" xfId="0" applyNumberFormat="1" applyFont="1" applyFill="1" applyBorder="1" applyAlignment="1">
      <alignment horizontal="center" vertical="center" wrapText="1"/>
    </xf>
    <xf numFmtId="178" fontId="78" fillId="29" borderId="17" xfId="0" applyNumberFormat="1" applyFont="1" applyFill="1" applyBorder="1" applyAlignment="1">
      <alignment horizontal="center" vertical="center" wrapText="1"/>
    </xf>
    <xf numFmtId="178" fontId="78" fillId="29" borderId="16" xfId="0" applyNumberFormat="1" applyFont="1" applyFill="1" applyBorder="1" applyAlignment="1">
      <alignment horizontal="center" vertical="center" wrapText="1"/>
    </xf>
    <xf numFmtId="0" fontId="78" fillId="29" borderId="30" xfId="0" applyFont="1" applyFill="1" applyBorder="1" applyAlignment="1">
      <alignment horizontal="center" vertical="center" wrapText="1"/>
    </xf>
    <xf numFmtId="0" fontId="78" fillId="29" borderId="31" xfId="0" applyFont="1" applyFill="1" applyBorder="1" applyAlignment="1">
      <alignment horizontal="center" vertical="center" wrapText="1"/>
    </xf>
    <xf numFmtId="49" fontId="78" fillId="29" borderId="15" xfId="0" applyNumberFormat="1" applyFont="1" applyFill="1" applyBorder="1" applyAlignment="1">
      <alignment horizontal="left" vertical="center" wrapText="1"/>
    </xf>
    <xf numFmtId="49" fontId="78" fillId="29" borderId="17" xfId="0" applyNumberFormat="1" applyFont="1" applyFill="1" applyBorder="1" applyAlignment="1">
      <alignment horizontal="left" vertical="center" wrapText="1"/>
    </xf>
    <xf numFmtId="49" fontId="78" fillId="29" borderId="16" xfId="0" applyNumberFormat="1" applyFont="1" applyFill="1" applyBorder="1" applyAlignment="1">
      <alignment horizontal="left" vertical="center" wrapText="1"/>
    </xf>
    <xf numFmtId="3" fontId="78" fillId="29" borderId="15" xfId="0" applyNumberFormat="1" applyFont="1" applyFill="1" applyBorder="1" applyAlignment="1">
      <alignment horizontal="center" vertical="center" wrapText="1" shrinkToFit="1"/>
    </xf>
    <xf numFmtId="3" fontId="78" fillId="29" borderId="16" xfId="0" applyNumberFormat="1" applyFont="1" applyFill="1" applyBorder="1" applyAlignment="1">
      <alignment horizontal="center" vertical="center" wrapText="1" shrinkToFit="1"/>
    </xf>
    <xf numFmtId="0" fontId="73" fillId="29" borderId="15" xfId="0" applyFont="1" applyFill="1" applyBorder="1" applyAlignment="1">
      <alignment horizontal="left" vertical="center" wrapText="1" shrinkToFit="1"/>
    </xf>
    <xf numFmtId="0" fontId="73" fillId="29" borderId="17" xfId="0" applyFont="1" applyFill="1" applyBorder="1" applyAlignment="1">
      <alignment horizontal="left" vertical="center" wrapText="1" shrinkToFit="1"/>
    </xf>
    <xf numFmtId="0" fontId="73" fillId="29" borderId="16" xfId="0" applyFont="1" applyFill="1" applyBorder="1" applyAlignment="1">
      <alignment horizontal="left" vertical="center" wrapText="1" shrinkToFit="1"/>
    </xf>
    <xf numFmtId="49" fontId="85" fillId="29" borderId="15" xfId="0" applyNumberFormat="1" applyFont="1" applyFill="1" applyBorder="1" applyAlignment="1">
      <alignment horizontal="left" vertical="center" wrapText="1"/>
    </xf>
    <xf numFmtId="49" fontId="85" fillId="29" borderId="16" xfId="0" applyNumberFormat="1" applyFont="1" applyFill="1" applyBorder="1" applyAlignment="1">
      <alignment horizontal="left" vertical="center" wrapText="1"/>
    </xf>
    <xf numFmtId="14" fontId="78" fillId="29" borderId="15" xfId="0" applyNumberFormat="1" applyFont="1" applyFill="1" applyBorder="1" applyAlignment="1">
      <alignment horizontal="center" vertical="center" wrapText="1"/>
    </xf>
    <xf numFmtId="14" fontId="78" fillId="29" borderId="17" xfId="0" applyNumberFormat="1" applyFont="1" applyFill="1" applyBorder="1" applyAlignment="1">
      <alignment horizontal="center" vertical="center" wrapText="1"/>
    </xf>
    <xf numFmtId="14" fontId="78" fillId="29" borderId="16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 wrapText="1" shrinkToFit="1"/>
    </xf>
    <xf numFmtId="0" fontId="78" fillId="29" borderId="16" xfId="0" applyFont="1" applyFill="1" applyBorder="1" applyAlignment="1">
      <alignment horizontal="center" vertical="center" wrapText="1" shrinkToFit="1"/>
    </xf>
    <xf numFmtId="177" fontId="78" fillId="32" borderId="17" xfId="0" applyNumberFormat="1" applyFont="1" applyFill="1" applyBorder="1" applyAlignment="1">
      <alignment horizontal="center" vertical="center" wrapText="1"/>
    </xf>
    <xf numFmtId="169" fontId="108" fillId="29" borderId="0" xfId="0" applyNumberFormat="1" applyFont="1" applyFill="1" applyAlignment="1">
      <alignment horizontal="center"/>
    </xf>
    <xf numFmtId="3" fontId="78" fillId="29" borderId="3" xfId="0" applyNumberFormat="1" applyFont="1" applyFill="1" applyBorder="1" applyAlignment="1">
      <alignment horizontal="left" vertical="center" wrapText="1"/>
    </xf>
    <xf numFmtId="0" fontId="109" fillId="29" borderId="0" xfId="0" applyFont="1" applyFill="1" applyAlignment="1">
      <alignment horizontal="center"/>
    </xf>
    <xf numFmtId="3" fontId="73" fillId="29" borderId="3" xfId="0" applyNumberFormat="1" applyFont="1" applyFill="1" applyBorder="1" applyAlignment="1">
      <alignment horizontal="left" vertical="center" wrapText="1"/>
    </xf>
    <xf numFmtId="49" fontId="78" fillId="29" borderId="15" xfId="0" applyNumberFormat="1" applyFont="1" applyFill="1" applyBorder="1" applyAlignment="1">
      <alignment horizontal="center" vertical="center" wrapText="1"/>
    </xf>
    <xf numFmtId="49" fontId="78" fillId="29" borderId="16" xfId="0" applyNumberFormat="1" applyFont="1" applyFill="1" applyBorder="1" applyAlignment="1">
      <alignment horizontal="center" vertical="center" wrapText="1"/>
    </xf>
    <xf numFmtId="49" fontId="73" fillId="29" borderId="15" xfId="0" applyNumberFormat="1" applyFont="1" applyFill="1" applyBorder="1" applyAlignment="1">
      <alignment horizontal="left" vertical="center" wrapText="1"/>
    </xf>
    <xf numFmtId="49" fontId="73" fillId="29" borderId="17" xfId="0" applyNumberFormat="1" applyFont="1" applyFill="1" applyBorder="1" applyAlignment="1">
      <alignment horizontal="left" vertical="center" wrapText="1"/>
    </xf>
    <xf numFmtId="49" fontId="73" fillId="29" borderId="16" xfId="0" applyNumberFormat="1" applyFont="1" applyFill="1" applyBorder="1" applyAlignment="1">
      <alignment horizontal="left" vertical="center" wrapText="1"/>
    </xf>
    <xf numFmtId="3" fontId="83" fillId="29" borderId="15" xfId="0" applyNumberFormat="1" applyFont="1" applyFill="1" applyBorder="1" applyAlignment="1">
      <alignment horizontal="left" vertical="center" wrapText="1" shrinkToFit="1"/>
    </xf>
    <xf numFmtId="3" fontId="83" fillId="29" borderId="17" xfId="0" applyNumberFormat="1" applyFont="1" applyFill="1" applyBorder="1" applyAlignment="1">
      <alignment horizontal="left" vertical="center" wrapText="1" shrinkToFit="1"/>
    </xf>
    <xf numFmtId="3" fontId="83" fillId="29" borderId="16" xfId="0" applyNumberFormat="1" applyFont="1" applyFill="1" applyBorder="1" applyAlignment="1">
      <alignment horizontal="left" vertical="center" wrapText="1" shrinkToFit="1"/>
    </xf>
    <xf numFmtId="0" fontId="73" fillId="29" borderId="15" xfId="0" applyFont="1" applyFill="1" applyBorder="1" applyAlignment="1">
      <alignment horizontal="left"/>
    </xf>
    <xf numFmtId="0" fontId="73" fillId="29" borderId="17" xfId="0" applyFont="1" applyFill="1" applyBorder="1" applyAlignment="1">
      <alignment horizontal="left"/>
    </xf>
    <xf numFmtId="0" fontId="73" fillId="29" borderId="16" xfId="0" applyFont="1" applyFill="1" applyBorder="1" applyAlignment="1">
      <alignment horizontal="left"/>
    </xf>
    <xf numFmtId="0" fontId="78" fillId="29" borderId="15" xfId="0" applyFont="1" applyFill="1" applyBorder="1" applyAlignment="1">
      <alignment horizontal="left" vertical="center" wrapText="1" shrinkToFit="1"/>
    </xf>
    <xf numFmtId="0" fontId="78" fillId="29" borderId="17" xfId="0" applyFont="1" applyFill="1" applyBorder="1" applyAlignment="1">
      <alignment horizontal="left" vertical="center" wrapText="1" shrinkToFit="1"/>
    </xf>
    <xf numFmtId="0" fontId="78" fillId="29" borderId="16" xfId="0" applyFont="1" applyFill="1" applyBorder="1" applyAlignment="1">
      <alignment horizontal="left" vertical="center" wrapText="1" shrinkToFit="1"/>
    </xf>
    <xf numFmtId="0" fontId="4" fillId="29" borderId="15" xfId="0" applyFont="1" applyFill="1" applyBorder="1" applyAlignment="1">
      <alignment horizontal="left" vertical="center" wrapText="1" shrinkToFit="1"/>
    </xf>
    <xf numFmtId="0" fontId="4" fillId="29" borderId="17" xfId="0" applyFont="1" applyFill="1" applyBorder="1" applyAlignment="1">
      <alignment horizontal="left" vertical="center" wrapText="1" shrinkToFit="1"/>
    </xf>
    <xf numFmtId="0" fontId="4" fillId="29" borderId="16" xfId="0" applyFont="1" applyFill="1" applyBorder="1" applyAlignment="1">
      <alignment horizontal="left" vertical="center" wrapText="1" shrinkToFit="1"/>
    </xf>
    <xf numFmtId="0" fontId="78" fillId="29" borderId="15" xfId="0" applyFont="1" applyFill="1" applyBorder="1" applyAlignment="1">
      <alignment horizontal="left" vertical="justify"/>
    </xf>
    <xf numFmtId="0" fontId="78" fillId="29" borderId="16" xfId="0" applyFont="1" applyFill="1" applyBorder="1" applyAlignment="1">
      <alignment horizontal="left" vertical="justify"/>
    </xf>
    <xf numFmtId="49" fontId="84" fillId="29" borderId="15" xfId="0" applyNumberFormat="1" applyFont="1" applyFill="1" applyBorder="1" applyAlignment="1">
      <alignment horizontal="left" vertical="center" wrapText="1" shrinkToFit="1"/>
    </xf>
    <xf numFmtId="49" fontId="84" fillId="29" borderId="17" xfId="0" applyNumberFormat="1" applyFont="1" applyFill="1" applyBorder="1" applyAlignment="1">
      <alignment horizontal="left" vertical="center" wrapText="1" shrinkToFit="1"/>
    </xf>
    <xf numFmtId="49" fontId="84" fillId="29" borderId="16" xfId="0" applyNumberFormat="1" applyFont="1" applyFill="1" applyBorder="1" applyAlignment="1">
      <alignment horizontal="left" vertical="center" wrapText="1" shrinkToFit="1"/>
    </xf>
    <xf numFmtId="49" fontId="106" fillId="29" borderId="15" xfId="0" applyNumberFormat="1" applyFont="1" applyFill="1" applyBorder="1" applyAlignment="1">
      <alignment horizontal="left" vertical="center" wrapText="1"/>
    </xf>
    <xf numFmtId="49" fontId="106" fillId="29" borderId="17" xfId="0" applyNumberFormat="1" applyFont="1" applyFill="1" applyBorder="1" applyAlignment="1">
      <alignment horizontal="left" vertical="center" wrapText="1"/>
    </xf>
    <xf numFmtId="49" fontId="106" fillId="29" borderId="16" xfId="0" applyNumberFormat="1" applyFont="1" applyFill="1" applyBorder="1" applyAlignment="1">
      <alignment horizontal="left" vertical="center" wrapText="1"/>
    </xf>
    <xf numFmtId="0" fontId="78" fillId="29" borderId="15" xfId="0" applyFont="1" applyFill="1" applyBorder="1" applyAlignment="1">
      <alignment horizontal="left" vertical="center" wrapText="1"/>
    </xf>
    <xf numFmtId="0" fontId="78" fillId="29" borderId="16" xfId="0" applyFont="1" applyFill="1" applyBorder="1" applyAlignment="1">
      <alignment horizontal="left" vertical="center" wrapText="1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0" fontId="109" fillId="29" borderId="0" xfId="0" applyFont="1" applyFill="1" applyAlignment="1">
      <alignment horizontal="left"/>
    </xf>
    <xf numFmtId="177" fontId="78" fillId="32" borderId="15" xfId="0" applyNumberFormat="1" applyFont="1" applyFill="1" applyBorder="1" applyAlignment="1">
      <alignment horizontal="center" vertical="center"/>
    </xf>
    <xf numFmtId="177" fontId="78" fillId="32" borderId="17" xfId="0" applyNumberFormat="1" applyFont="1" applyFill="1" applyBorder="1" applyAlignment="1">
      <alignment horizontal="center" vertical="center"/>
    </xf>
    <xf numFmtId="177" fontId="78" fillId="32" borderId="16" xfId="0" applyNumberFormat="1" applyFont="1" applyFill="1" applyBorder="1" applyAlignment="1">
      <alignment horizontal="center" vertical="center"/>
    </xf>
    <xf numFmtId="0" fontId="73" fillId="29" borderId="0" xfId="0" applyFont="1" applyFill="1" applyAlignment="1">
      <alignment horizontal="right" vertical="center"/>
    </xf>
    <xf numFmtId="0" fontId="5" fillId="29" borderId="13" xfId="0" applyFont="1" applyFill="1" applyBorder="1" applyAlignment="1">
      <alignment horizontal="right"/>
    </xf>
    <xf numFmtId="0" fontId="5" fillId="29" borderId="14" xfId="0" applyFont="1" applyFill="1" applyBorder="1" applyAlignment="1">
      <alignment horizontal="center" vertical="center"/>
    </xf>
    <xf numFmtId="0" fontId="5" fillId="29" borderId="19" xfId="0" applyFont="1" applyFill="1" applyBorder="1" applyAlignment="1">
      <alignment horizontal="center" vertical="center"/>
    </xf>
    <xf numFmtId="0" fontId="73" fillId="29" borderId="15" xfId="0" applyFont="1" applyFill="1" applyBorder="1" applyAlignment="1">
      <alignment horizontal="center" vertical="center"/>
    </xf>
    <xf numFmtId="0" fontId="87" fillId="29" borderId="17" xfId="0" applyFont="1" applyFill="1" applyBorder="1" applyAlignment="1">
      <alignment horizontal="center" vertical="center"/>
    </xf>
    <xf numFmtId="0" fontId="87" fillId="29" borderId="16" xfId="0" applyFont="1" applyFill="1" applyBorder="1" applyAlignment="1">
      <alignment horizontal="center" vertical="center"/>
    </xf>
    <xf numFmtId="0" fontId="73" fillId="29" borderId="15" xfId="0" applyFont="1" applyFill="1" applyBorder="1" applyAlignment="1">
      <alignment horizontal="center" vertical="center" wrapText="1"/>
    </xf>
  </cellXfs>
  <cellStyles count="355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Звичайний 2 3" xfId="354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1" xfId="260"/>
    <cellStyle name="Обычный 3 12" xfId="261"/>
    <cellStyle name="Обычный 3 13" xfId="262"/>
    <cellStyle name="Обычный 3 14" xfId="263"/>
    <cellStyle name="Обычный 3 2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9" xfId="271"/>
    <cellStyle name="Обычный 3_Дефицит_7 млрд_0608_бс" xfId="272"/>
    <cellStyle name="Обычный 4" xfId="273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3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6;&#1074;&#1080;&#1081;%20&#1092;&#1110;&#1085;&#1087;&#1083;&#1072;&#1085;/2022/9%20&#1084;&#1110;&#1089;&#1103;&#1094;&#1110;&#1074;%202022/01_Financial_statement_Q3_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9m"/>
      <sheetName val="Лист2"/>
      <sheetName val="ПЛАН ЗАКУПІВЕЛЬ 2018"/>
      <sheetName val="Аркуш2"/>
      <sheetName val="MPPZ"/>
      <sheetName val="адмін_(2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МТР_Газ_України"/>
      <sheetName val="МТР_все_2"/>
      <sheetName val="база  "/>
      <sheetName val="Links"/>
      <sheetName val="Lea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Ener_"/>
      <sheetName val="gdp"/>
      <sheetName val="1993"/>
      <sheetName val="Додаток 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банк"/>
      <sheetName val="дез"/>
      <sheetName val="связь"/>
      <sheetName val="компод"/>
      <sheetName val="пож"/>
      <sheetName val="проезд"/>
      <sheetName val="страх"/>
      <sheetName val="gdp"/>
      <sheetName val="до викупа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яснення"/>
      <sheetName val="I. Фін результат"/>
      <sheetName val="Розшифровка фінрезультати"/>
      <sheetName val="ІІ. Розр. з бюджетом"/>
      <sheetName val="IV. Кап. інвестиції"/>
      <sheetName val="Розшифровка до капівидатків"/>
      <sheetName val="6.1. Інша інфо_1"/>
      <sheetName val="6.2. Інша інфо_2"/>
      <sheetName val="VII Статутн. капіт"/>
      <sheetName val="Розшифровка до Статутного"/>
    </sheetNames>
    <sheetDataSet>
      <sheetData sheetId="0" refreshError="1"/>
      <sheetData sheetId="1" refreshError="1"/>
      <sheetData sheetId="2" refreshError="1"/>
      <sheetData sheetId="3">
        <row r="28">
          <cell r="E28">
            <v>0</v>
          </cell>
        </row>
        <row r="34">
          <cell r="E34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gdp"/>
      <sheetName val="7  інші витрати"/>
      <sheetName val="Ener 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1993"/>
      <sheetName val="рік"/>
      <sheetName val="7  інші витрат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13"/>
  <sheetViews>
    <sheetView topLeftCell="A94" zoomScale="60" zoomScaleNormal="60" workbookViewId="0">
      <selection activeCell="X18" sqref="X18"/>
    </sheetView>
  </sheetViews>
  <sheetFormatPr defaultColWidth="8.88671875" defaultRowHeight="13.2"/>
  <cols>
    <col min="1" max="1" width="8.88671875" style="40"/>
    <col min="2" max="2" width="38" style="40" customWidth="1"/>
    <col min="3" max="3" width="21.44140625" style="40" customWidth="1"/>
    <col min="4" max="4" width="18" style="40" customWidth="1"/>
    <col min="5" max="5" width="17.109375" style="40" customWidth="1"/>
    <col min="6" max="6" width="15.44140625" style="40" customWidth="1"/>
    <col min="7" max="7" width="16.6640625" style="40" customWidth="1"/>
    <col min="8" max="8" width="15.5546875" style="40" customWidth="1"/>
    <col min="9" max="9" width="17.109375" style="40" customWidth="1"/>
    <col min="10" max="16384" width="8.88671875" style="40"/>
  </cols>
  <sheetData>
    <row r="4" spans="2:9" ht="16.8">
      <c r="I4" s="234" t="s">
        <v>342</v>
      </c>
    </row>
    <row r="5" spans="2:9" ht="17.399999999999999" thickBot="1">
      <c r="B5" s="449" t="s">
        <v>741</v>
      </c>
      <c r="C5" s="449"/>
      <c r="D5" s="449"/>
      <c r="E5" s="449"/>
      <c r="F5" s="449"/>
      <c r="G5" s="449"/>
      <c r="H5" s="449"/>
      <c r="I5" s="449"/>
    </row>
    <row r="6" spans="2:9" ht="15.6" customHeight="1" thickBot="1">
      <c r="B6" s="441" t="s">
        <v>742</v>
      </c>
      <c r="C6" s="441" t="s">
        <v>775</v>
      </c>
      <c r="D6" s="441" t="s">
        <v>771</v>
      </c>
      <c r="E6" s="441" t="s">
        <v>776</v>
      </c>
      <c r="F6" s="444" t="s">
        <v>743</v>
      </c>
      <c r="G6" s="445"/>
      <c r="H6" s="445"/>
      <c r="I6" s="446"/>
    </row>
    <row r="7" spans="2:9" ht="31.5" customHeight="1" thickBot="1">
      <c r="B7" s="442"/>
      <c r="C7" s="442"/>
      <c r="D7" s="442"/>
      <c r="E7" s="442"/>
      <c r="F7" s="444" t="s">
        <v>777</v>
      </c>
      <c r="G7" s="446"/>
      <c r="H7" s="447" t="s">
        <v>778</v>
      </c>
      <c r="I7" s="448"/>
    </row>
    <row r="8" spans="2:9" ht="17.25" customHeight="1" thickBot="1">
      <c r="B8" s="443"/>
      <c r="C8" s="443"/>
      <c r="D8" s="443"/>
      <c r="E8" s="443"/>
      <c r="F8" s="313" t="s">
        <v>744</v>
      </c>
      <c r="G8" s="313" t="s">
        <v>745</v>
      </c>
      <c r="H8" s="313" t="s">
        <v>744</v>
      </c>
      <c r="I8" s="314" t="s">
        <v>745</v>
      </c>
    </row>
    <row r="9" spans="2:9" ht="30.75" customHeight="1">
      <c r="B9" s="235" t="s">
        <v>746</v>
      </c>
      <c r="C9" s="236">
        <f>C10+C17+C33+C31</f>
        <v>623460</v>
      </c>
      <c r="D9" s="236">
        <f>D10+D17+D33+D31</f>
        <v>1053569.5</v>
      </c>
      <c r="E9" s="236">
        <f>E10+E17+E33+E31</f>
        <v>701507</v>
      </c>
      <c r="F9" s="236">
        <f>E9-C9</f>
        <v>78047</v>
      </c>
      <c r="G9" s="237">
        <f>F9/C9*100</f>
        <v>12.518365251980882</v>
      </c>
      <c r="H9" s="236">
        <f>E9-D9</f>
        <v>-352062.5</v>
      </c>
      <c r="I9" s="237">
        <f>H9/D9*100</f>
        <v>-33.416162863484566</v>
      </c>
    </row>
    <row r="10" spans="2:9" ht="30.75" customHeight="1">
      <c r="B10" s="238" t="s">
        <v>123</v>
      </c>
      <c r="C10" s="236">
        <f>SUM(C11:C16)</f>
        <v>186753</v>
      </c>
      <c r="D10" s="236">
        <f t="shared" ref="D10:E10" si="0">SUM(D11:D16)</f>
        <v>273410</v>
      </c>
      <c r="E10" s="236">
        <f t="shared" si="0"/>
        <v>117666</v>
      </c>
      <c r="F10" s="236">
        <f t="shared" ref="F10:F46" si="1">E10-C10</f>
        <v>-69087</v>
      </c>
      <c r="G10" s="237">
        <f t="shared" ref="G10:G47" si="2">F10/C10*100</f>
        <v>-36.993783232397874</v>
      </c>
      <c r="H10" s="236">
        <f t="shared" ref="H10:H46" si="3">E10-D10</f>
        <v>-155744</v>
      </c>
      <c r="I10" s="237">
        <f t="shared" ref="I10:I42" si="4">H10/D10*100</f>
        <v>-56.963534618338763</v>
      </c>
    </row>
    <row r="11" spans="2:9" ht="30.75" customHeight="1">
      <c r="B11" s="239" t="s">
        <v>702</v>
      </c>
      <c r="C11" s="240">
        <v>183915</v>
      </c>
      <c r="D11" s="240">
        <f>'6.1. Інша інфо_1'!D34</f>
        <v>266000</v>
      </c>
      <c r="E11" s="240">
        <f>'6.1. Інша інфо_1'!G34</f>
        <v>116219.1</v>
      </c>
      <c r="F11" s="240">
        <f t="shared" si="1"/>
        <v>-67695.899999999994</v>
      </c>
      <c r="G11" s="241">
        <f t="shared" si="2"/>
        <v>-36.808253812902699</v>
      </c>
      <c r="H11" s="240">
        <f t="shared" si="3"/>
        <v>-149780.9</v>
      </c>
      <c r="I11" s="241">
        <f t="shared" si="4"/>
        <v>-56.308609022556389</v>
      </c>
    </row>
    <row r="12" spans="2:9" ht="30.75" customHeight="1">
      <c r="B12" s="239" t="s">
        <v>703</v>
      </c>
      <c r="C12" s="240">
        <v>1065</v>
      </c>
      <c r="D12" s="240">
        <f>'6.1. Інша інфо_1'!D35</f>
        <v>5400</v>
      </c>
      <c r="E12" s="240">
        <f>'6.1. Інша інфо_1'!G35</f>
        <v>274.89999999999998</v>
      </c>
      <c r="F12" s="240">
        <f t="shared" si="1"/>
        <v>-790.1</v>
      </c>
      <c r="G12" s="241">
        <f t="shared" si="2"/>
        <v>-74.187793427230048</v>
      </c>
      <c r="H12" s="240">
        <f t="shared" si="3"/>
        <v>-5125.1000000000004</v>
      </c>
      <c r="I12" s="241">
        <f t="shared" si="4"/>
        <v>-94.909259259259272</v>
      </c>
    </row>
    <row r="13" spans="2:9" ht="30.75" customHeight="1">
      <c r="B13" s="239" t="s">
        <v>704</v>
      </c>
      <c r="C13" s="240">
        <v>180</v>
      </c>
      <c r="D13" s="240">
        <f>'6.1. Інша інфо_1'!D36</f>
        <v>160</v>
      </c>
      <c r="E13" s="240">
        <f>'6.1. Інша інфо_1'!G36</f>
        <v>194.3</v>
      </c>
      <c r="F13" s="240">
        <f t="shared" si="1"/>
        <v>14.300000000000011</v>
      </c>
      <c r="G13" s="241">
        <f t="shared" si="2"/>
        <v>7.9444444444444509</v>
      </c>
      <c r="H13" s="240">
        <f t="shared" si="3"/>
        <v>34.300000000000011</v>
      </c>
      <c r="I13" s="241">
        <f t="shared" si="4"/>
        <v>21.437500000000007</v>
      </c>
    </row>
    <row r="14" spans="2:9" ht="30.75" customHeight="1">
      <c r="B14" s="239" t="s">
        <v>705</v>
      </c>
      <c r="C14" s="240">
        <v>1018</v>
      </c>
      <c r="D14" s="240">
        <f>'6.1. Інша інфо_1'!D37</f>
        <v>1250</v>
      </c>
      <c r="E14" s="240">
        <f>'6.1. Інша інфо_1'!G37</f>
        <v>977.7</v>
      </c>
      <c r="F14" s="240">
        <f t="shared" si="1"/>
        <v>-40.299999999999955</v>
      </c>
      <c r="G14" s="241">
        <f t="shared" si="2"/>
        <v>-3.958742632612962</v>
      </c>
      <c r="H14" s="240">
        <f t="shared" si="3"/>
        <v>-272.29999999999995</v>
      </c>
      <c r="I14" s="241">
        <f t="shared" si="4"/>
        <v>-21.783999999999995</v>
      </c>
    </row>
    <row r="15" spans="2:9" ht="30.75" hidden="1" customHeight="1">
      <c r="B15" s="239" t="s">
        <v>706</v>
      </c>
      <c r="C15" s="240"/>
      <c r="D15" s="240">
        <f>'6.1. Інша інфо_1'!D38</f>
        <v>0</v>
      </c>
      <c r="E15" s="240">
        <f>'6.1. Інша інфо_1'!G38</f>
        <v>0</v>
      </c>
      <c r="F15" s="240">
        <f t="shared" si="1"/>
        <v>0</v>
      </c>
      <c r="G15" s="241" t="e">
        <f t="shared" si="2"/>
        <v>#DIV/0!</v>
      </c>
      <c r="H15" s="240">
        <f t="shared" si="3"/>
        <v>0</v>
      </c>
      <c r="I15" s="241"/>
    </row>
    <row r="16" spans="2:9" ht="30.75" customHeight="1">
      <c r="B16" s="239" t="s">
        <v>707</v>
      </c>
      <c r="C16" s="240">
        <v>575</v>
      </c>
      <c r="D16" s="240">
        <f>'6.1. Інша інфо_1'!D39</f>
        <v>600</v>
      </c>
      <c r="E16" s="240">
        <f>'6.1. Інша інфо_1'!G39</f>
        <v>0</v>
      </c>
      <c r="F16" s="240">
        <f t="shared" si="1"/>
        <v>-575</v>
      </c>
      <c r="G16" s="241">
        <f>F16/C16*100</f>
        <v>-100</v>
      </c>
      <c r="H16" s="240">
        <f t="shared" si="3"/>
        <v>-600</v>
      </c>
      <c r="I16" s="241">
        <f>H16/D16*100</f>
        <v>-100</v>
      </c>
    </row>
    <row r="17" spans="2:9" ht="30.75" customHeight="1">
      <c r="B17" s="242" t="s">
        <v>352</v>
      </c>
      <c r="C17" s="236">
        <f>SUM(C18:C30)</f>
        <v>430278</v>
      </c>
      <c r="D17" s="236">
        <f>SUM(D18:D30)</f>
        <v>774486.6</v>
      </c>
      <c r="E17" s="236">
        <f>SUM(E18:E30)</f>
        <v>575539</v>
      </c>
      <c r="F17" s="236">
        <f t="shared" si="1"/>
        <v>145261</v>
      </c>
      <c r="G17" s="237">
        <f t="shared" si="2"/>
        <v>33.759801802555558</v>
      </c>
      <c r="H17" s="236">
        <f t="shared" si="3"/>
        <v>-198947.59999999998</v>
      </c>
      <c r="I17" s="237">
        <f t="shared" si="4"/>
        <v>-25.687674906189468</v>
      </c>
    </row>
    <row r="18" spans="2:9" ht="64.95" customHeight="1">
      <c r="B18" s="243" t="s">
        <v>747</v>
      </c>
      <c r="C18" s="240">
        <f>'Розшифровка фінрезультати'!D69</f>
        <v>3758</v>
      </c>
      <c r="D18" s="240">
        <f>'Розшифровка фінрезультати'!E69-1</f>
        <v>1884.9</v>
      </c>
      <c r="E18" s="240">
        <f>'Розшифровка фінрезультати'!F69</f>
        <v>2706</v>
      </c>
      <c r="F18" s="240">
        <f t="shared" si="1"/>
        <v>-1052</v>
      </c>
      <c r="G18" s="241">
        <f t="shared" si="2"/>
        <v>-27.993613624268228</v>
      </c>
      <c r="H18" s="240">
        <f t="shared" si="3"/>
        <v>821.09999999999991</v>
      </c>
      <c r="I18" s="241">
        <f t="shared" si="4"/>
        <v>43.561992678656686</v>
      </c>
    </row>
    <row r="19" spans="2:9" ht="30.75" customHeight="1">
      <c r="B19" s="244" t="s">
        <v>528</v>
      </c>
      <c r="C19" s="240">
        <f>'Розшифровка фінрезультати'!D70</f>
        <v>565.70000000000005</v>
      </c>
      <c r="D19" s="240">
        <f>'Розшифровка фінрезультати'!E70</f>
        <v>550</v>
      </c>
      <c r="E19" s="240">
        <f>'Розшифровка фінрезультати'!F70</f>
        <v>447</v>
      </c>
      <c r="F19" s="240">
        <f t="shared" si="1"/>
        <v>-118.70000000000005</v>
      </c>
      <c r="G19" s="241">
        <f t="shared" si="2"/>
        <v>-20.982853102351076</v>
      </c>
      <c r="H19" s="240">
        <f t="shared" si="3"/>
        <v>-103</v>
      </c>
      <c r="I19" s="241">
        <f t="shared" si="4"/>
        <v>-18.72727272727273</v>
      </c>
    </row>
    <row r="20" spans="2:9" ht="66" customHeight="1">
      <c r="B20" s="244" t="s">
        <v>748</v>
      </c>
      <c r="C20" s="240">
        <f>'Розшифровка фінрезультати'!D71</f>
        <v>0</v>
      </c>
      <c r="D20" s="240">
        <f>'Розшифровка фінрезультати'!E71</f>
        <v>164218.6</v>
      </c>
      <c r="E20" s="240">
        <f>'Розшифровка фінрезультати'!F71</f>
        <v>0</v>
      </c>
      <c r="F20" s="240">
        <f t="shared" si="1"/>
        <v>0</v>
      </c>
      <c r="G20" s="241"/>
      <c r="H20" s="240">
        <f t="shared" si="3"/>
        <v>-164218.6</v>
      </c>
      <c r="I20" s="241">
        <f t="shared" si="4"/>
        <v>-100</v>
      </c>
    </row>
    <row r="21" spans="2:9" ht="54" customHeight="1">
      <c r="B21" s="244" t="s">
        <v>749</v>
      </c>
      <c r="C21" s="240">
        <f>'Розшифровка фінрезультати'!D72</f>
        <v>0</v>
      </c>
      <c r="D21" s="240">
        <f>'Розшифровка фінрезультати'!E72</f>
        <v>35446.800000000003</v>
      </c>
      <c r="E21" s="240">
        <f>'Розшифровка фінрезультати'!F72</f>
        <v>0</v>
      </c>
      <c r="F21" s="240">
        <f t="shared" si="1"/>
        <v>0</v>
      </c>
      <c r="G21" s="241"/>
      <c r="H21" s="240">
        <f t="shared" si="3"/>
        <v>-35446.800000000003</v>
      </c>
      <c r="I21" s="241">
        <f t="shared" si="4"/>
        <v>-100</v>
      </c>
    </row>
    <row r="22" spans="2:9" ht="30.75" customHeight="1">
      <c r="B22" s="244" t="s">
        <v>531</v>
      </c>
      <c r="C22" s="240">
        <f>'Розшифровка фінрезультати'!D73</f>
        <v>0</v>
      </c>
      <c r="D22" s="240">
        <f>'Розшифровка фінрезультати'!E73</f>
        <v>0</v>
      </c>
      <c r="E22" s="240">
        <f>'Розшифровка фінрезультати'!F73</f>
        <v>0</v>
      </c>
      <c r="F22" s="240"/>
      <c r="G22" s="241"/>
      <c r="H22" s="240"/>
      <c r="I22" s="241"/>
    </row>
    <row r="23" spans="2:9" ht="30.75" customHeight="1">
      <c r="B23" s="244" t="s">
        <v>533</v>
      </c>
      <c r="C23" s="240">
        <f>'Розшифровка фінрезультати'!D74</f>
        <v>2789.2</v>
      </c>
      <c r="D23" s="240">
        <f>'Розшифровка фінрезультати'!E74</f>
        <v>2531.5</v>
      </c>
      <c r="E23" s="240">
        <f>'Розшифровка фінрезультати'!F74</f>
        <v>2531</v>
      </c>
      <c r="F23" s="240">
        <f t="shared" si="1"/>
        <v>-258.19999999999982</v>
      </c>
      <c r="G23" s="241">
        <f t="shared" si="2"/>
        <v>-9.2571346622687454</v>
      </c>
      <c r="H23" s="240">
        <f t="shared" si="3"/>
        <v>-0.5</v>
      </c>
      <c r="I23" s="241">
        <f t="shared" si="4"/>
        <v>-1.9751135690302193E-2</v>
      </c>
    </row>
    <row r="24" spans="2:9" ht="30.75" customHeight="1">
      <c r="B24" s="244" t="s">
        <v>535</v>
      </c>
      <c r="C24" s="240">
        <f>'Розшифровка фінрезультати'!D75</f>
        <v>667.1</v>
      </c>
      <c r="D24" s="240">
        <f>'Розшифровка фінрезультати'!E75</f>
        <v>606.1</v>
      </c>
      <c r="E24" s="240">
        <f>'Розшифровка фінрезультати'!F75</f>
        <v>606</v>
      </c>
      <c r="F24" s="240">
        <f t="shared" si="1"/>
        <v>-61.100000000000023</v>
      </c>
      <c r="G24" s="241">
        <f t="shared" si="2"/>
        <v>-9.1590466196972002</v>
      </c>
      <c r="H24" s="240">
        <f t="shared" si="3"/>
        <v>-0.10000000000002274</v>
      </c>
      <c r="I24" s="241">
        <f t="shared" si="4"/>
        <v>-1.6498927569711719E-2</v>
      </c>
    </row>
    <row r="25" spans="2:9" ht="51.6" customHeight="1">
      <c r="B25" s="244" t="s">
        <v>537</v>
      </c>
      <c r="C25" s="240">
        <f>'Розшифровка фінрезультати'!D76</f>
        <v>220.2</v>
      </c>
      <c r="D25" s="240">
        <f>'Розшифровка фінрезультати'!E76</f>
        <v>242.4</v>
      </c>
      <c r="E25" s="240">
        <f>'Розшифровка фінрезультати'!F76</f>
        <v>242</v>
      </c>
      <c r="F25" s="240">
        <f t="shared" si="1"/>
        <v>21.800000000000011</v>
      </c>
      <c r="G25" s="241">
        <f t="shared" si="2"/>
        <v>9.9000908265213496</v>
      </c>
      <c r="H25" s="240">
        <f t="shared" si="3"/>
        <v>-0.40000000000000568</v>
      </c>
      <c r="I25" s="241">
        <f>H25/D25*100</f>
        <v>-0.16501650165016735</v>
      </c>
    </row>
    <row r="26" spans="2:9" ht="80.400000000000006" customHeight="1">
      <c r="B26" s="244" t="s">
        <v>750</v>
      </c>
      <c r="C26" s="240">
        <f>'Розшифровка фінрезультати'!D77</f>
        <v>268803.09999999998</v>
      </c>
      <c r="D26" s="240">
        <f>'Розшифровка фінрезультати'!E77</f>
        <v>355063.8</v>
      </c>
      <c r="E26" s="240">
        <f>'Розшифровка фінрезультати'!F77</f>
        <v>355064</v>
      </c>
      <c r="F26" s="240">
        <f t="shared" si="1"/>
        <v>86260.900000000023</v>
      </c>
      <c r="G26" s="241">
        <f t="shared" si="2"/>
        <v>32.090738536869559</v>
      </c>
      <c r="H26" s="240">
        <f t="shared" si="3"/>
        <v>0.20000000001164153</v>
      </c>
      <c r="I26" s="241">
        <f t="shared" si="4"/>
        <v>5.6327905016405937E-5</v>
      </c>
    </row>
    <row r="27" spans="2:9" ht="92.4" customHeight="1">
      <c r="B27" s="244" t="s">
        <v>541</v>
      </c>
      <c r="C27" s="240">
        <f>'Розшифровка фінрезультати'!D78</f>
        <v>24153.3</v>
      </c>
      <c r="D27" s="240">
        <f>'Розшифровка фінрезультати'!E78</f>
        <v>0</v>
      </c>
      <c r="E27" s="240">
        <f>'Розшифровка фінрезультати'!F78</f>
        <v>0</v>
      </c>
      <c r="F27" s="240">
        <f t="shared" si="1"/>
        <v>-24153.3</v>
      </c>
      <c r="G27" s="241">
        <f t="shared" si="2"/>
        <v>-100</v>
      </c>
      <c r="H27" s="240">
        <f t="shared" si="3"/>
        <v>0</v>
      </c>
      <c r="I27" s="241"/>
    </row>
    <row r="28" spans="2:9" ht="96.6" customHeight="1">
      <c r="B28" s="244" t="s">
        <v>751</v>
      </c>
      <c r="C28" s="240">
        <f>'Розшифровка фінрезультати'!D79</f>
        <v>48306.5</v>
      </c>
      <c r="D28" s="240">
        <f>'Розшифровка фінрезультати'!E79</f>
        <v>77417.899999999994</v>
      </c>
      <c r="E28" s="240">
        <f>'Розшифровка фінрезультати'!F79</f>
        <v>77418</v>
      </c>
      <c r="F28" s="240">
        <f t="shared" si="1"/>
        <v>29111.5</v>
      </c>
      <c r="G28" s="241">
        <f t="shared" si="2"/>
        <v>60.264146646931572</v>
      </c>
      <c r="H28" s="240">
        <f t="shared" si="3"/>
        <v>0.10000000000582077</v>
      </c>
      <c r="I28" s="241">
        <f t="shared" si="4"/>
        <v>1.2916909397674281E-4</v>
      </c>
    </row>
    <row r="29" spans="2:9" ht="96" customHeight="1">
      <c r="B29" s="245" t="s">
        <v>613</v>
      </c>
      <c r="C29" s="240">
        <f>'Розшифровка фінрезультати'!D80</f>
        <v>61923.9</v>
      </c>
      <c r="D29" s="240">
        <f>'Розшифровка фінрезультати'!E80</f>
        <v>97077.5</v>
      </c>
      <c r="E29" s="240">
        <f>'Розшифровка фінрезультати'!F80</f>
        <v>97078</v>
      </c>
      <c r="F29" s="240">
        <f t="shared" si="1"/>
        <v>35154.1</v>
      </c>
      <c r="G29" s="241">
        <f t="shared" si="2"/>
        <v>56.769841692787438</v>
      </c>
      <c r="H29" s="240">
        <f t="shared" si="3"/>
        <v>0.5</v>
      </c>
      <c r="I29" s="241">
        <f t="shared" si="4"/>
        <v>5.1505240658236977E-4</v>
      </c>
    </row>
    <row r="30" spans="2:9" ht="100.2" customHeight="1">
      <c r="B30" s="246" t="s">
        <v>615</v>
      </c>
      <c r="C30" s="240">
        <f>'Розшифровка фінрезультати'!D81</f>
        <v>19091</v>
      </c>
      <c r="D30" s="240">
        <f>'Розшифровка фінрезультати'!E81</f>
        <v>39447.1</v>
      </c>
      <c r="E30" s="240">
        <f>'Розшифровка фінрезультати'!F81</f>
        <v>39447</v>
      </c>
      <c r="F30" s="240">
        <f t="shared" si="1"/>
        <v>20356</v>
      </c>
      <c r="G30" s="241">
        <f t="shared" si="2"/>
        <v>106.62615892305274</v>
      </c>
      <c r="H30" s="240">
        <f t="shared" si="3"/>
        <v>-9.9999999998544808E-2</v>
      </c>
      <c r="I30" s="241">
        <f t="shared" si="4"/>
        <v>-2.5350405986382981E-4</v>
      </c>
    </row>
    <row r="31" spans="2:9" ht="30.75" customHeight="1">
      <c r="B31" s="247" t="s">
        <v>189</v>
      </c>
      <c r="C31" s="236">
        <f>C32</f>
        <v>192</v>
      </c>
      <c r="D31" s="236">
        <f t="shared" ref="D31:E31" si="5">D32</f>
        <v>155</v>
      </c>
      <c r="E31" s="236">
        <f t="shared" si="5"/>
        <v>2585</v>
      </c>
      <c r="F31" s="236">
        <f t="shared" si="1"/>
        <v>2393</v>
      </c>
      <c r="G31" s="237">
        <f t="shared" si="2"/>
        <v>1246.3541666666665</v>
      </c>
      <c r="H31" s="236">
        <f t="shared" si="3"/>
        <v>2430</v>
      </c>
      <c r="I31" s="237">
        <f t="shared" si="4"/>
        <v>1567.741935483871</v>
      </c>
    </row>
    <row r="32" spans="2:9" ht="30.75" customHeight="1">
      <c r="B32" s="243" t="s">
        <v>553</v>
      </c>
      <c r="C32" s="240">
        <f>'Розшифровка фінрезультати'!D86</f>
        <v>192</v>
      </c>
      <c r="D32" s="240">
        <f>'Розшифровка фінрезультати'!E86</f>
        <v>155</v>
      </c>
      <c r="E32" s="240">
        <f>'Розшифровка фінрезультати'!F86</f>
        <v>2585</v>
      </c>
      <c r="F32" s="240">
        <f t="shared" si="1"/>
        <v>2393</v>
      </c>
      <c r="G32" s="241">
        <f t="shared" si="2"/>
        <v>1246.3541666666665</v>
      </c>
      <c r="H32" s="240">
        <f t="shared" si="3"/>
        <v>2430</v>
      </c>
      <c r="I32" s="241">
        <f t="shared" si="4"/>
        <v>1567.741935483871</v>
      </c>
    </row>
    <row r="33" spans="2:9" ht="30.75" customHeight="1">
      <c r="B33" s="247" t="s">
        <v>353</v>
      </c>
      <c r="C33" s="236">
        <f>SUM(C34:C47)</f>
        <v>6237</v>
      </c>
      <c r="D33" s="236">
        <f t="shared" ref="D33:E33" si="6">SUM(D34:D47)</f>
        <v>5517.9</v>
      </c>
      <c r="E33" s="236">
        <f t="shared" si="6"/>
        <v>5717</v>
      </c>
      <c r="F33" s="236">
        <f t="shared" ref="F33:H33" si="7">SUM(F34:F46)</f>
        <v>-426.00000000000011</v>
      </c>
      <c r="G33" s="237">
        <f t="shared" si="2"/>
        <v>-6.8302068302068326</v>
      </c>
      <c r="H33" s="236">
        <f t="shared" si="7"/>
        <v>193.10000000000002</v>
      </c>
      <c r="I33" s="237">
        <f t="shared" si="4"/>
        <v>3.4995197448304616</v>
      </c>
    </row>
    <row r="34" spans="2:9" ht="35.4" customHeight="1">
      <c r="B34" s="183" t="s">
        <v>556</v>
      </c>
      <c r="C34" s="240">
        <f>'Розшифровка фінрезультати'!D88</f>
        <v>1054.8</v>
      </c>
      <c r="D34" s="240">
        <f>'Розшифровка фінрезультати'!E88</f>
        <v>400</v>
      </c>
      <c r="E34" s="240">
        <f>'Розшифровка фінрезультати'!F88</f>
        <v>616</v>
      </c>
      <c r="F34" s="240">
        <f t="shared" si="1"/>
        <v>-438.79999999999995</v>
      </c>
      <c r="G34" s="241">
        <f t="shared" si="2"/>
        <v>-41.600303375047396</v>
      </c>
      <c r="H34" s="240">
        <f t="shared" si="3"/>
        <v>216</v>
      </c>
      <c r="I34" s="241">
        <f t="shared" si="4"/>
        <v>54</v>
      </c>
    </row>
    <row r="35" spans="2:9" ht="38.4" customHeight="1">
      <c r="B35" s="183" t="s">
        <v>557</v>
      </c>
      <c r="C35" s="240">
        <f>'Розшифровка фінрезультати'!D89</f>
        <v>4659.8</v>
      </c>
      <c r="D35" s="240">
        <f>'Розшифровка фінрезультати'!E89</f>
        <v>4667.5</v>
      </c>
      <c r="E35" s="240">
        <f>'Розшифровка фінрезультати'!F89</f>
        <v>4470</v>
      </c>
      <c r="F35" s="240">
        <f t="shared" si="1"/>
        <v>-189.80000000000018</v>
      </c>
      <c r="G35" s="241">
        <f t="shared" si="2"/>
        <v>-4.0731361861024116</v>
      </c>
      <c r="H35" s="240">
        <f t="shared" si="3"/>
        <v>-197.5</v>
      </c>
      <c r="I35" s="241">
        <f t="shared" si="4"/>
        <v>-4.2313872522763791</v>
      </c>
    </row>
    <row r="36" spans="2:9" ht="50.4" hidden="1" customHeight="1">
      <c r="B36" s="183" t="s">
        <v>558</v>
      </c>
      <c r="C36" s="240">
        <f>'Розшифровка фінрезультати'!D90</f>
        <v>0</v>
      </c>
      <c r="D36" s="240">
        <f>'Розшифровка фінрезультати'!E90</f>
        <v>0</v>
      </c>
      <c r="E36" s="240">
        <f>'Розшифровка фінрезультати'!F90</f>
        <v>199</v>
      </c>
      <c r="F36" s="240">
        <f t="shared" si="1"/>
        <v>199</v>
      </c>
      <c r="G36" s="241" t="e">
        <f t="shared" si="2"/>
        <v>#DIV/0!</v>
      </c>
      <c r="H36" s="240">
        <f t="shared" si="3"/>
        <v>199</v>
      </c>
      <c r="I36" s="241" t="e">
        <f t="shared" si="4"/>
        <v>#DIV/0!</v>
      </c>
    </row>
    <row r="37" spans="2:9" ht="22.2" customHeight="1">
      <c r="B37" s="183" t="s">
        <v>559</v>
      </c>
      <c r="C37" s="240">
        <f>'Розшифровка фінрезультати'!D91</f>
        <v>0</v>
      </c>
      <c r="D37" s="240">
        <f>'Розшифровка фінрезультати'!E91</f>
        <v>0</v>
      </c>
      <c r="E37" s="240">
        <f>'Розшифровка фінрезультати'!F91</f>
        <v>0</v>
      </c>
      <c r="F37" s="240"/>
      <c r="G37" s="241"/>
      <c r="H37" s="240"/>
      <c r="I37" s="241"/>
    </row>
    <row r="38" spans="2:9" ht="21" customHeight="1">
      <c r="B38" s="183" t="s">
        <v>560</v>
      </c>
      <c r="C38" s="240">
        <f>'Розшифровка фінрезультати'!D92</f>
        <v>0</v>
      </c>
      <c r="D38" s="240">
        <f>'Розшифровка фінрезультати'!E92</f>
        <v>26</v>
      </c>
      <c r="E38" s="240">
        <f>'Розшифровка фінрезультати'!F92</f>
        <v>0</v>
      </c>
      <c r="F38" s="240">
        <f t="shared" si="1"/>
        <v>0</v>
      </c>
      <c r="G38" s="241"/>
      <c r="H38" s="240">
        <f t="shared" si="3"/>
        <v>-26</v>
      </c>
      <c r="I38" s="241">
        <f t="shared" si="4"/>
        <v>-100</v>
      </c>
    </row>
    <row r="39" spans="2:9" ht="47.4" customHeight="1">
      <c r="B39" s="183" t="s">
        <v>561</v>
      </c>
      <c r="C39" s="240">
        <f>'Розшифровка фінрезультати'!D93</f>
        <v>13.2</v>
      </c>
      <c r="D39" s="240">
        <f>'Розшифровка фінрезультати'!E93</f>
        <v>20</v>
      </c>
      <c r="E39" s="240">
        <f>'Розшифровка фінрезультати'!F93</f>
        <v>196</v>
      </c>
      <c r="F39" s="240">
        <f t="shared" si="1"/>
        <v>182.8</v>
      </c>
      <c r="G39" s="241">
        <f t="shared" si="2"/>
        <v>1384.848484848485</v>
      </c>
      <c r="H39" s="240">
        <f t="shared" si="3"/>
        <v>176</v>
      </c>
      <c r="I39" s="241">
        <f t="shared" si="4"/>
        <v>880.00000000000011</v>
      </c>
    </row>
    <row r="40" spans="2:9" ht="96" customHeight="1">
      <c r="B40" s="183" t="s">
        <v>562</v>
      </c>
      <c r="C40" s="240">
        <f>'Розшифровка фінрезультати'!D94</f>
        <v>11.5</v>
      </c>
      <c r="D40" s="240">
        <f>'Розшифровка фінрезультати'!E94</f>
        <v>0</v>
      </c>
      <c r="E40" s="240">
        <f>'Розшифровка фінрезультати'!F94</f>
        <v>0</v>
      </c>
      <c r="F40" s="240">
        <f t="shared" si="1"/>
        <v>-11.5</v>
      </c>
      <c r="G40" s="241">
        <f t="shared" si="2"/>
        <v>-100</v>
      </c>
      <c r="H40" s="240">
        <f t="shared" si="3"/>
        <v>0</v>
      </c>
      <c r="I40" s="241"/>
    </row>
    <row r="41" spans="2:9" ht="27" customHeight="1">
      <c r="B41" s="183" t="s">
        <v>563</v>
      </c>
      <c r="C41" s="240">
        <f>'Розшифровка фінрезультати'!D95</f>
        <v>3.5</v>
      </c>
      <c r="D41" s="240">
        <f>'Розшифровка фінрезультати'!E95</f>
        <v>4.4000000000000004</v>
      </c>
      <c r="E41" s="240">
        <f>'Розшифровка фінрезультати'!F95</f>
        <v>1</v>
      </c>
      <c r="F41" s="240">
        <f t="shared" si="1"/>
        <v>-2.5</v>
      </c>
      <c r="G41" s="241"/>
      <c r="H41" s="240">
        <f t="shared" si="3"/>
        <v>-3.4000000000000004</v>
      </c>
      <c r="I41" s="241">
        <f t="shared" si="4"/>
        <v>-77.272727272727266</v>
      </c>
    </row>
    <row r="42" spans="2:9" ht="30.75" customHeight="1">
      <c r="B42" s="183" t="s">
        <v>564</v>
      </c>
      <c r="C42" s="240">
        <f>'Розшифровка фінрезультати'!D96</f>
        <v>389.2</v>
      </c>
      <c r="D42" s="240">
        <f>'Розшифровка фінрезультати'!E96</f>
        <v>400</v>
      </c>
      <c r="E42" s="240">
        <f>'Розшифровка фінрезультати'!F96</f>
        <v>154</v>
      </c>
      <c r="F42" s="240">
        <f t="shared" si="1"/>
        <v>-235.2</v>
      </c>
      <c r="G42" s="241">
        <f t="shared" si="2"/>
        <v>-60.431654676258994</v>
      </c>
      <c r="H42" s="240">
        <f t="shared" si="3"/>
        <v>-246</v>
      </c>
      <c r="I42" s="241">
        <f t="shared" si="4"/>
        <v>-61.5</v>
      </c>
    </row>
    <row r="43" spans="2:9" ht="18">
      <c r="B43" s="183" t="s">
        <v>685</v>
      </c>
      <c r="C43" s="240">
        <f>'Розшифровка фінрезультати'!D97</f>
        <v>5</v>
      </c>
      <c r="D43" s="240">
        <f>'Розшифровка фінрезультати'!E97</f>
        <v>0</v>
      </c>
      <c r="E43" s="240">
        <f>'Розшифровка фінрезультати'!F97</f>
        <v>0</v>
      </c>
      <c r="F43" s="240">
        <f t="shared" si="1"/>
        <v>-5</v>
      </c>
      <c r="G43" s="241">
        <f t="shared" si="2"/>
        <v>-100</v>
      </c>
      <c r="H43" s="240">
        <f t="shared" si="3"/>
        <v>0</v>
      </c>
      <c r="I43" s="241"/>
    </row>
    <row r="44" spans="2:9" ht="36">
      <c r="B44" s="186" t="s">
        <v>565</v>
      </c>
      <c r="C44" s="240">
        <f>'Розшифровка фінрезультати'!D98</f>
        <v>0</v>
      </c>
      <c r="D44" s="240">
        <f>'Розшифровка фінрезультати'!E98</f>
        <v>0</v>
      </c>
      <c r="E44" s="240">
        <f>'Розшифровка фінрезультати'!F98</f>
        <v>48</v>
      </c>
      <c r="F44" s="240">
        <f t="shared" si="1"/>
        <v>48</v>
      </c>
      <c r="G44" s="241"/>
      <c r="H44" s="240">
        <f t="shared" si="3"/>
        <v>48</v>
      </c>
      <c r="I44" s="241"/>
    </row>
    <row r="45" spans="2:9" ht="18">
      <c r="B45" s="186" t="s">
        <v>566</v>
      </c>
      <c r="C45" s="240">
        <f>'Розшифровка фінрезультати'!D99</f>
        <v>0</v>
      </c>
      <c r="D45" s="240">
        <f>'Розшифровка фінрезультати'!E99</f>
        <v>0</v>
      </c>
      <c r="E45" s="240">
        <f>'Розшифровка фінрезультати'!F99</f>
        <v>1</v>
      </c>
      <c r="F45" s="240">
        <f t="shared" si="1"/>
        <v>1</v>
      </c>
      <c r="G45" s="241"/>
      <c r="H45" s="240">
        <f t="shared" si="3"/>
        <v>1</v>
      </c>
      <c r="I45" s="241"/>
    </row>
    <row r="46" spans="2:9" ht="18">
      <c r="B46" s="186" t="s">
        <v>567</v>
      </c>
      <c r="C46" s="240">
        <f>'Розшифровка фінрезультати'!D100</f>
        <v>0</v>
      </c>
      <c r="D46" s="240">
        <f>'Розшифровка фінрезультати'!E100</f>
        <v>0</v>
      </c>
      <c r="E46" s="240">
        <f>'Розшифровка фінрезультати'!F100</f>
        <v>26</v>
      </c>
      <c r="F46" s="240">
        <f t="shared" si="1"/>
        <v>26</v>
      </c>
      <c r="G46" s="241"/>
      <c r="H46" s="240">
        <f t="shared" si="3"/>
        <v>26</v>
      </c>
      <c r="I46" s="241"/>
    </row>
    <row r="47" spans="2:9" ht="18">
      <c r="B47" s="186" t="s">
        <v>568</v>
      </c>
      <c r="C47" s="240">
        <f>'Розшифровка фінрезультати'!D101</f>
        <v>100</v>
      </c>
      <c r="D47" s="240">
        <f>'Розшифровка фінрезультати'!E101</f>
        <v>0</v>
      </c>
      <c r="E47" s="240">
        <f>'Розшифровка фінрезультати'!F101</f>
        <v>6</v>
      </c>
      <c r="F47" s="240">
        <f t="shared" ref="F47" si="8">E47-C47</f>
        <v>-94</v>
      </c>
      <c r="G47" s="241">
        <f t="shared" si="2"/>
        <v>-94</v>
      </c>
      <c r="H47" s="240">
        <f t="shared" ref="H47" si="9">E47-D47</f>
        <v>6</v>
      </c>
      <c r="I47" s="241"/>
    </row>
    <row r="48" spans="2:9" ht="18">
      <c r="B48" s="255"/>
      <c r="I48" s="248" t="s">
        <v>343</v>
      </c>
    </row>
    <row r="49" spans="2:9" ht="16.8">
      <c r="B49" s="440" t="s">
        <v>752</v>
      </c>
      <c r="C49" s="440"/>
      <c r="D49" s="440"/>
      <c r="E49" s="440"/>
      <c r="F49" s="440"/>
      <c r="G49" s="440"/>
      <c r="H49" s="440"/>
      <c r="I49" s="440"/>
    </row>
    <row r="50" spans="2:9" ht="17.399999999999999" thickBot="1">
      <c r="I50" s="248" t="s">
        <v>435</v>
      </c>
    </row>
    <row r="51" spans="2:9" ht="16.5" customHeight="1" thickBot="1">
      <c r="B51" s="441" t="s">
        <v>742</v>
      </c>
      <c r="C51" s="441" t="s">
        <v>775</v>
      </c>
      <c r="D51" s="441" t="s">
        <v>771</v>
      </c>
      <c r="E51" s="441" t="s">
        <v>776</v>
      </c>
      <c r="F51" s="444" t="s">
        <v>743</v>
      </c>
      <c r="G51" s="445"/>
      <c r="H51" s="445"/>
      <c r="I51" s="446"/>
    </row>
    <row r="52" spans="2:9" ht="31.5" customHeight="1" thickBot="1">
      <c r="B52" s="442"/>
      <c r="C52" s="442"/>
      <c r="D52" s="442"/>
      <c r="E52" s="442"/>
      <c r="F52" s="444" t="s">
        <v>777</v>
      </c>
      <c r="G52" s="446"/>
      <c r="H52" s="447" t="s">
        <v>778</v>
      </c>
      <c r="I52" s="448"/>
    </row>
    <row r="53" spans="2:9" ht="14.4" thickBot="1">
      <c r="B53" s="443"/>
      <c r="C53" s="443"/>
      <c r="D53" s="443"/>
      <c r="E53" s="443"/>
      <c r="F53" s="313" t="s">
        <v>744</v>
      </c>
      <c r="G53" s="313" t="s">
        <v>745</v>
      </c>
      <c r="H53" s="313" t="s">
        <v>744</v>
      </c>
      <c r="I53" s="314" t="s">
        <v>745</v>
      </c>
    </row>
    <row r="54" spans="2:9" ht="15.6">
      <c r="B54" s="249" t="s">
        <v>753</v>
      </c>
      <c r="C54" s="236">
        <f>SUM(C55:C60)</f>
        <v>639217.19999999995</v>
      </c>
      <c r="D54" s="236">
        <f t="shared" ref="D54:E54" si="10">SUM(D55:D60)</f>
        <v>1053569.5</v>
      </c>
      <c r="E54" s="236">
        <f t="shared" si="10"/>
        <v>715700</v>
      </c>
      <c r="F54" s="236">
        <f t="shared" ref="F54:F60" si="11">E54-C54</f>
        <v>76482.800000000047</v>
      </c>
      <c r="G54" s="237">
        <f>F54/C54*100</f>
        <v>11.965072279031299</v>
      </c>
      <c r="H54" s="236">
        <f>E54-D54</f>
        <v>-337869.5</v>
      </c>
      <c r="I54" s="237">
        <f t="shared" ref="I54:I59" si="12">H54/D54*100</f>
        <v>-32.069028194153304</v>
      </c>
    </row>
    <row r="55" spans="2:9" ht="31.2">
      <c r="B55" s="250" t="s">
        <v>110</v>
      </c>
      <c r="C55" s="240">
        <f>-'I. Фін результат'!C9</f>
        <v>562737.69999999995</v>
      </c>
      <c r="D55" s="240">
        <f>-'I. Фін результат'!E9</f>
        <v>948491.09999999986</v>
      </c>
      <c r="E55" s="240">
        <f>-'I. Фін результат'!D9</f>
        <v>634675</v>
      </c>
      <c r="F55" s="240">
        <f t="shared" si="11"/>
        <v>71937.300000000047</v>
      </c>
      <c r="G55" s="241">
        <f t="shared" ref="G55:G59" si="13">F55/C55*100</f>
        <v>12.783451330877609</v>
      </c>
      <c r="H55" s="240">
        <f t="shared" ref="H55:H60" si="14">E55-D55</f>
        <v>-313816.09999999986</v>
      </c>
      <c r="I55" s="241">
        <f t="shared" si="12"/>
        <v>-33.085824421547009</v>
      </c>
    </row>
    <row r="56" spans="2:9" ht="15.6">
      <c r="B56" s="243" t="s">
        <v>351</v>
      </c>
      <c r="C56" s="240">
        <f>-'I. Фін результат'!C19</f>
        <v>32441.1</v>
      </c>
      <c r="D56" s="240">
        <f>-'I. Фін результат'!E19</f>
        <v>41151</v>
      </c>
      <c r="E56" s="240">
        <f>-'I. Фін результат'!D19</f>
        <v>37571</v>
      </c>
      <c r="F56" s="240">
        <f t="shared" si="11"/>
        <v>5129.9000000000015</v>
      </c>
      <c r="G56" s="241">
        <f t="shared" si="13"/>
        <v>15.812965651596283</v>
      </c>
      <c r="H56" s="240">
        <f t="shared" si="14"/>
        <v>-3580</v>
      </c>
      <c r="I56" s="241">
        <f t="shared" si="12"/>
        <v>-8.6996670797793492</v>
      </c>
    </row>
    <row r="57" spans="2:9" ht="15.6">
      <c r="B57" s="243" t="s">
        <v>99</v>
      </c>
      <c r="C57" s="240">
        <f>-'I. Фін результат'!C40</f>
        <v>33105.4</v>
      </c>
      <c r="D57" s="240">
        <f>-'I. Фін результат'!E40</f>
        <v>48614.3</v>
      </c>
      <c r="E57" s="240">
        <f>-'I. Фін результат'!D40</f>
        <v>23688</v>
      </c>
      <c r="F57" s="240">
        <f>E57-C57</f>
        <v>-9417.4000000000015</v>
      </c>
      <c r="G57" s="241">
        <f t="shared" si="13"/>
        <v>-28.446718662212213</v>
      </c>
      <c r="H57" s="240">
        <f t="shared" si="14"/>
        <v>-24926.300000000003</v>
      </c>
      <c r="I57" s="241">
        <f t="shared" si="12"/>
        <v>-51.273596452072745</v>
      </c>
    </row>
    <row r="58" spans="2:9" ht="15.6">
      <c r="B58" s="243" t="s">
        <v>27</v>
      </c>
      <c r="C58" s="315">
        <f>-'I. Фін результат'!C52</f>
        <v>6921.0000000000009</v>
      </c>
      <c r="D58" s="315">
        <f>-'I. Фін результат'!E52</f>
        <v>8387.6</v>
      </c>
      <c r="E58" s="315">
        <f>-'I. Фін результат'!D52</f>
        <v>8396</v>
      </c>
      <c r="F58" s="240">
        <f t="shared" si="11"/>
        <v>1474.9999999999991</v>
      </c>
      <c r="G58" s="241">
        <f t="shared" si="13"/>
        <v>21.311949140297628</v>
      </c>
      <c r="H58" s="240">
        <f t="shared" si="14"/>
        <v>8.3999999999996362</v>
      </c>
      <c r="I58" s="241">
        <f t="shared" si="12"/>
        <v>0.1001478372836048</v>
      </c>
    </row>
    <row r="59" spans="2:9" ht="15.6">
      <c r="B59" s="243" t="s">
        <v>190</v>
      </c>
      <c r="C59" s="316">
        <f>-'I. Фін результат'!C63</f>
        <v>3988</v>
      </c>
      <c r="D59" s="316">
        <f>-'I. Фін результат'!E63</f>
        <v>6895.5</v>
      </c>
      <c r="E59" s="316">
        <f>-'I. Фін результат'!D63</f>
        <v>7110</v>
      </c>
      <c r="F59" s="240">
        <f t="shared" si="11"/>
        <v>3122</v>
      </c>
      <c r="G59" s="241">
        <f t="shared" si="13"/>
        <v>78.28485456369107</v>
      </c>
      <c r="H59" s="240">
        <f t="shared" si="14"/>
        <v>214.5</v>
      </c>
      <c r="I59" s="241">
        <f t="shared" si="12"/>
        <v>3.1107243854687843</v>
      </c>
    </row>
    <row r="60" spans="2:9" ht="15.6">
      <c r="B60" s="243" t="s">
        <v>354</v>
      </c>
      <c r="C60" s="316">
        <f>-'I. Фін результат'!C67</f>
        <v>24</v>
      </c>
      <c r="D60" s="316">
        <f>-'I. Фін результат'!E67</f>
        <v>30</v>
      </c>
      <c r="E60" s="316">
        <f>-'I. Фін результат'!D67</f>
        <v>4260</v>
      </c>
      <c r="F60" s="240">
        <f t="shared" si="11"/>
        <v>4236</v>
      </c>
      <c r="G60" s="241">
        <f>F60/C60*100</f>
        <v>17650</v>
      </c>
      <c r="H60" s="240">
        <f t="shared" si="14"/>
        <v>4230</v>
      </c>
      <c r="I60" s="241">
        <f>H60/D60*100</f>
        <v>14100</v>
      </c>
    </row>
    <row r="61" spans="2:9" ht="16.8">
      <c r="B61" s="251"/>
      <c r="I61" s="248"/>
    </row>
    <row r="62" spans="2:9" ht="16.8">
      <c r="B62" s="251"/>
      <c r="I62" s="248"/>
    </row>
    <row r="63" spans="2:9" ht="16.8">
      <c r="B63" s="440" t="s">
        <v>754</v>
      </c>
      <c r="C63" s="440"/>
      <c r="D63" s="440"/>
      <c r="E63" s="440"/>
      <c r="F63" s="440"/>
      <c r="G63" s="440"/>
      <c r="H63" s="440"/>
      <c r="I63" s="440"/>
    </row>
    <row r="64" spans="2:9" ht="16.8">
      <c r="B64" s="440" t="s">
        <v>755</v>
      </c>
      <c r="C64" s="440"/>
      <c r="D64" s="440"/>
      <c r="E64" s="440"/>
      <c r="F64" s="440"/>
      <c r="G64" s="440"/>
      <c r="H64" s="440"/>
      <c r="I64" s="440"/>
    </row>
    <row r="65" spans="2:9" ht="16.8">
      <c r="I65" s="248" t="s">
        <v>435</v>
      </c>
    </row>
    <row r="66" spans="2:9" ht="17.399999999999999" thickBot="1">
      <c r="I66" s="248"/>
    </row>
    <row r="67" spans="2:9" ht="16.5" customHeight="1" thickBot="1">
      <c r="B67" s="441" t="s">
        <v>742</v>
      </c>
      <c r="C67" s="441" t="s">
        <v>775</v>
      </c>
      <c r="D67" s="441" t="s">
        <v>771</v>
      </c>
      <c r="E67" s="441" t="s">
        <v>776</v>
      </c>
      <c r="F67" s="444" t="s">
        <v>743</v>
      </c>
      <c r="G67" s="445"/>
      <c r="H67" s="445"/>
      <c r="I67" s="446"/>
    </row>
    <row r="68" spans="2:9" ht="31.5" customHeight="1" thickBot="1">
      <c r="B68" s="442"/>
      <c r="C68" s="442"/>
      <c r="D68" s="442"/>
      <c r="E68" s="442"/>
      <c r="F68" s="444" t="s">
        <v>779</v>
      </c>
      <c r="G68" s="446"/>
      <c r="H68" s="447" t="s">
        <v>780</v>
      </c>
      <c r="I68" s="448"/>
    </row>
    <row r="69" spans="2:9" ht="14.4" thickBot="1">
      <c r="B69" s="443"/>
      <c r="C69" s="443"/>
      <c r="D69" s="443"/>
      <c r="E69" s="443"/>
      <c r="F69" s="313" t="s">
        <v>744</v>
      </c>
      <c r="G69" s="313" t="s">
        <v>745</v>
      </c>
      <c r="H69" s="313" t="s">
        <v>744</v>
      </c>
      <c r="I69" s="314" t="s">
        <v>745</v>
      </c>
    </row>
    <row r="70" spans="2:9" ht="15.6">
      <c r="B70" s="235" t="s">
        <v>756</v>
      </c>
      <c r="C70" s="236">
        <f>SUM(C71:C81)</f>
        <v>121044</v>
      </c>
      <c r="D70" s="236">
        <f t="shared" ref="D70:E70" si="15">SUM(D71:D81)</f>
        <v>156370</v>
      </c>
      <c r="E70" s="236">
        <f t="shared" si="15"/>
        <v>121295</v>
      </c>
      <c r="F70" s="236">
        <f>E70-C70</f>
        <v>251</v>
      </c>
      <c r="G70" s="237">
        <f>F70/C70*100</f>
        <v>0.20736261194276459</v>
      </c>
      <c r="H70" s="236">
        <f>E70-D70</f>
        <v>-35075</v>
      </c>
      <c r="I70" s="237">
        <f>H70/D70*100</f>
        <v>-22.43077316620835</v>
      </c>
    </row>
    <row r="71" spans="2:9" ht="15.6">
      <c r="B71" s="252" t="s">
        <v>757</v>
      </c>
      <c r="C71" s="240">
        <f>'ІІ. Розр. з бюджетом'!C20</f>
        <v>559</v>
      </c>
      <c r="D71" s="240">
        <f>'ІІ. Розр. з бюджетом'!E20</f>
        <v>600</v>
      </c>
      <c r="E71" s="240">
        <f>'ІІ. Розр. з бюджетом'!D20</f>
        <v>279</v>
      </c>
      <c r="F71" s="240">
        <f>E71-C71</f>
        <v>-280</v>
      </c>
      <c r="G71" s="241">
        <f>F71/C71*100</f>
        <v>-50.089445438282645</v>
      </c>
      <c r="H71" s="240">
        <f>E71-D71</f>
        <v>-321</v>
      </c>
      <c r="I71" s="241">
        <f>H71/D71*100</f>
        <v>-53.5</v>
      </c>
    </row>
    <row r="72" spans="2:9" ht="15.6">
      <c r="B72" s="252" t="s">
        <v>758</v>
      </c>
      <c r="C72" s="240">
        <f>'ІІ. Розр. з бюджетом'!C29</f>
        <v>53621</v>
      </c>
      <c r="D72" s="240">
        <f>'ІІ. Розр. з бюджетом'!E29</f>
        <v>67534.7</v>
      </c>
      <c r="E72" s="240">
        <f>'ІІ. Розр. з бюджетом'!D29</f>
        <v>53443</v>
      </c>
      <c r="F72" s="240">
        <f t="shared" ref="F72" si="16">E72-C72</f>
        <v>-178</v>
      </c>
      <c r="G72" s="241">
        <f t="shared" ref="G72" si="17">F72/C72*100</f>
        <v>-0.3319594934820313</v>
      </c>
      <c r="H72" s="240">
        <f t="shared" ref="H72" si="18">E72-D72</f>
        <v>-14091.699999999997</v>
      </c>
      <c r="I72" s="241">
        <f t="shared" ref="I72" si="19">H72/D72*100</f>
        <v>-20.865865991853074</v>
      </c>
    </row>
    <row r="73" spans="2:9" ht="15.6">
      <c r="B73" s="252" t="s">
        <v>759</v>
      </c>
      <c r="C73" s="240">
        <f>'ІІ. Розр. з бюджетом'!C25</f>
        <v>4469</v>
      </c>
      <c r="D73" s="240">
        <f>'ІІ. Розр. з бюджетом'!E25</f>
        <v>5627.9</v>
      </c>
      <c r="E73" s="240">
        <f>'ІІ. Розр. з бюджетом'!D25</f>
        <v>4456</v>
      </c>
      <c r="F73" s="240">
        <f>E73-C73</f>
        <v>-13</v>
      </c>
      <c r="G73" s="241">
        <f>F73/C73*100</f>
        <v>-0.29089281718505261</v>
      </c>
      <c r="H73" s="240">
        <f>E73-D73</f>
        <v>-1171.8999999999996</v>
      </c>
      <c r="I73" s="241">
        <f>H73/D73*100</f>
        <v>-20.823042342614471</v>
      </c>
    </row>
    <row r="74" spans="2:9" ht="46.8">
      <c r="B74" s="252" t="s">
        <v>760</v>
      </c>
      <c r="C74" s="240">
        <f>'ІІ. Розр. з бюджетом'!C38</f>
        <v>62344</v>
      </c>
      <c r="D74" s="240">
        <f>'ІІ. Розр. з бюджетом'!E38</f>
        <v>82542.399999999994</v>
      </c>
      <c r="E74" s="240">
        <f>'ІІ. Розр. з бюджетом'!D38</f>
        <v>63103</v>
      </c>
      <c r="F74" s="240">
        <f>E74-C74</f>
        <v>759</v>
      </c>
      <c r="G74" s="241">
        <f>F74/C74*100</f>
        <v>1.2174387270627485</v>
      </c>
      <c r="H74" s="240">
        <f>E74-D74</f>
        <v>-19439.399999999994</v>
      </c>
      <c r="I74" s="241">
        <f>H74/D74*100</f>
        <v>-23.550805404252838</v>
      </c>
    </row>
    <row r="75" spans="2:9" ht="15.6">
      <c r="B75" s="252" t="s">
        <v>761</v>
      </c>
      <c r="C75" s="240">
        <f>'ІІ. Розр. з бюджетом'!C31</f>
        <v>10</v>
      </c>
      <c r="D75" s="240">
        <f>'ІІ. Розр. з бюджетом'!E31</f>
        <v>11</v>
      </c>
      <c r="E75" s="240">
        <f>'ІІ. Розр. з бюджетом'!D31</f>
        <v>7</v>
      </c>
      <c r="F75" s="240">
        <f t="shared" ref="F75:F81" si="20">E75-C75</f>
        <v>-3</v>
      </c>
      <c r="G75" s="241">
        <f t="shared" ref="G75:G81" si="21">F75/C75*100</f>
        <v>-30</v>
      </c>
      <c r="H75" s="240">
        <f t="shared" ref="H75:H81" si="22">E75-D75</f>
        <v>-4</v>
      </c>
      <c r="I75" s="241">
        <f t="shared" ref="I75:I81" si="23">H75/D75*100</f>
        <v>-36.363636363636367</v>
      </c>
    </row>
    <row r="76" spans="2:9" ht="15.6">
      <c r="B76" s="252" t="s">
        <v>621</v>
      </c>
      <c r="C76" s="240">
        <f>'ІІ. Розр. з бюджетом'!C39</f>
        <v>37</v>
      </c>
      <c r="D76" s="240">
        <f>'ІІ. Розр. з бюджетом'!E39</f>
        <v>50</v>
      </c>
      <c r="E76" s="240">
        <f>'ІІ. Розр. з бюджетом'!D39</f>
        <v>0</v>
      </c>
      <c r="F76" s="240">
        <f t="shared" si="20"/>
        <v>-37</v>
      </c>
      <c r="G76" s="241">
        <f t="shared" si="21"/>
        <v>-100</v>
      </c>
      <c r="H76" s="240">
        <f t="shared" si="22"/>
        <v>-50</v>
      </c>
      <c r="I76" s="241">
        <f t="shared" si="23"/>
        <v>-100</v>
      </c>
    </row>
    <row r="77" spans="2:9" ht="15.6">
      <c r="B77" s="252" t="s">
        <v>620</v>
      </c>
      <c r="C77" s="240">
        <f>'ІІ. Розр. з бюджетом'!C35</f>
        <v>4</v>
      </c>
      <c r="D77" s="240">
        <f>'ІІ. Розр. з бюджетом'!E35</f>
        <v>4</v>
      </c>
      <c r="E77" s="240">
        <f>'ІІ. Розр. з бюджетом'!D35</f>
        <v>7</v>
      </c>
      <c r="F77" s="240">
        <f t="shared" si="20"/>
        <v>3</v>
      </c>
      <c r="G77" s="241">
        <f t="shared" si="21"/>
        <v>75</v>
      </c>
      <c r="H77" s="240">
        <f t="shared" si="22"/>
        <v>3</v>
      </c>
      <c r="I77" s="241">
        <f t="shared" si="23"/>
        <v>75</v>
      </c>
    </row>
    <row r="78" spans="2:9" ht="15.6">
      <c r="B78" s="252" t="s">
        <v>762</v>
      </c>
      <c r="C78" s="240">
        <f>'ІІ. Розр. з бюджетом'!C32</f>
        <v>0</v>
      </c>
      <c r="D78" s="240">
        <f>'ІІ. Розр. з бюджетом'!E32</f>
        <v>0</v>
      </c>
      <c r="E78" s="240">
        <f>'ІІ. Розр. з бюджетом'!D32</f>
        <v>0</v>
      </c>
      <c r="F78" s="240">
        <f t="shared" si="20"/>
        <v>0</v>
      </c>
      <c r="G78" s="241"/>
      <c r="H78" s="240">
        <f t="shared" si="22"/>
        <v>0</v>
      </c>
      <c r="I78" s="241"/>
    </row>
    <row r="79" spans="2:9" ht="31.2" hidden="1">
      <c r="B79" s="252" t="s">
        <v>763</v>
      </c>
      <c r="C79" s="240">
        <f>'[36]ІІ. Розр. з бюджетом'!C34</f>
        <v>0</v>
      </c>
      <c r="D79" s="240">
        <f>'[36]ІІ. Розр. з бюджетом'!E34</f>
        <v>0</v>
      </c>
      <c r="E79" s="240">
        <f>'[36]ІІ. Розр. з бюджетом'!D34</f>
        <v>0</v>
      </c>
      <c r="F79" s="240">
        <f t="shared" si="20"/>
        <v>0</v>
      </c>
      <c r="G79" s="241" t="e">
        <f t="shared" si="21"/>
        <v>#DIV/0!</v>
      </c>
      <c r="H79" s="240">
        <f t="shared" si="22"/>
        <v>0</v>
      </c>
      <c r="I79" s="241" t="e">
        <f t="shared" si="23"/>
        <v>#DIV/0!</v>
      </c>
    </row>
    <row r="80" spans="2:9" ht="31.2" hidden="1">
      <c r="B80" s="252" t="s">
        <v>764</v>
      </c>
      <c r="C80" s="240">
        <f>'[36]ІІ. Розр. з бюджетом'!C28</f>
        <v>0</v>
      </c>
      <c r="D80" s="240">
        <f>'[36]ІІ. Розр. з бюджетом'!E28</f>
        <v>0</v>
      </c>
      <c r="E80" s="240">
        <f>'[36]ІІ. Розр. з бюджетом'!D28</f>
        <v>0</v>
      </c>
      <c r="F80" s="240">
        <f t="shared" si="20"/>
        <v>0</v>
      </c>
      <c r="G80" s="241" t="e">
        <f t="shared" si="21"/>
        <v>#DIV/0!</v>
      </c>
      <c r="H80" s="240">
        <f t="shared" si="22"/>
        <v>0</v>
      </c>
      <c r="I80" s="241" t="e">
        <f t="shared" si="23"/>
        <v>#DIV/0!</v>
      </c>
    </row>
    <row r="81" spans="2:9" ht="31.2" hidden="1">
      <c r="B81" s="252" t="s">
        <v>765</v>
      </c>
      <c r="C81" s="240">
        <v>0</v>
      </c>
      <c r="D81" s="240">
        <v>0</v>
      </c>
      <c r="E81" s="240">
        <v>0</v>
      </c>
      <c r="F81" s="240">
        <f t="shared" si="20"/>
        <v>0</v>
      </c>
      <c r="G81" s="241" t="e">
        <f t="shared" si="21"/>
        <v>#DIV/0!</v>
      </c>
      <c r="H81" s="240">
        <f t="shared" si="22"/>
        <v>0</v>
      </c>
      <c r="I81" s="241" t="e">
        <f t="shared" si="23"/>
        <v>#DIV/0!</v>
      </c>
    </row>
    <row r="83" spans="2:9" ht="16.8">
      <c r="B83" s="440" t="s">
        <v>766</v>
      </c>
      <c r="C83" s="440"/>
      <c r="D83" s="440"/>
      <c r="E83" s="440"/>
      <c r="F83" s="440"/>
      <c r="G83" s="440"/>
      <c r="H83" s="440"/>
      <c r="I83" s="440"/>
    </row>
    <row r="85" spans="2:9" ht="13.8" thickBot="1"/>
    <row r="86" spans="2:9" ht="16.5" customHeight="1" thickBot="1">
      <c r="B86" s="441" t="s">
        <v>742</v>
      </c>
      <c r="C86" s="441" t="s">
        <v>775</v>
      </c>
      <c r="D86" s="441" t="s">
        <v>771</v>
      </c>
      <c r="E86" s="441" t="s">
        <v>776</v>
      </c>
      <c r="F86" s="444" t="s">
        <v>743</v>
      </c>
      <c r="G86" s="445"/>
      <c r="H86" s="445"/>
      <c r="I86" s="446"/>
    </row>
    <row r="87" spans="2:9" ht="31.5" customHeight="1" thickBot="1">
      <c r="B87" s="442"/>
      <c r="C87" s="442"/>
      <c r="D87" s="442"/>
      <c r="E87" s="442"/>
      <c r="F87" s="444" t="s">
        <v>779</v>
      </c>
      <c r="G87" s="446"/>
      <c r="H87" s="447" t="s">
        <v>780</v>
      </c>
      <c r="I87" s="448"/>
    </row>
    <row r="88" spans="2:9" ht="14.4" thickBot="1">
      <c r="B88" s="443"/>
      <c r="C88" s="443"/>
      <c r="D88" s="443"/>
      <c r="E88" s="443"/>
      <c r="F88" s="313" t="s">
        <v>744</v>
      </c>
      <c r="G88" s="313" t="s">
        <v>745</v>
      </c>
      <c r="H88" s="313" t="s">
        <v>744</v>
      </c>
      <c r="I88" s="314" t="s">
        <v>745</v>
      </c>
    </row>
    <row r="89" spans="2:9" ht="15.6">
      <c r="B89" s="253" t="s">
        <v>767</v>
      </c>
      <c r="C89" s="240">
        <f>'Осн. фін. пок.'!C27</f>
        <v>-375984.69999999995</v>
      </c>
      <c r="D89" s="240">
        <f>'Осн. фін. пок.'!E27</f>
        <v>-675081.29999999981</v>
      </c>
      <c r="E89" s="240">
        <f>'Осн. фін. пок.'!D27</f>
        <v>-517009</v>
      </c>
      <c r="F89" s="240">
        <f>E89-C89</f>
        <v>-141024.30000000005</v>
      </c>
      <c r="G89" s="241">
        <f>F89/C89*100</f>
        <v>37.507989021893728</v>
      </c>
      <c r="H89" s="240">
        <f t="shared" ref="H89" si="24">E89-D89</f>
        <v>158072.29999999981</v>
      </c>
      <c r="I89" s="241">
        <f>H89/D89*100</f>
        <v>-23.415298275926151</v>
      </c>
    </row>
    <row r="90" spans="2:9" ht="31.2">
      <c r="B90" s="253" t="s">
        <v>4</v>
      </c>
      <c r="C90" s="240">
        <f>'Осн. фін. пок.'!C32</f>
        <v>-18174.199999999953</v>
      </c>
      <c r="D90" s="240">
        <f>'Осн. фін. пок.'!E32</f>
        <v>1253.4000000001161</v>
      </c>
      <c r="E90" s="240">
        <f>'Осн. фін. пок.'!D32</f>
        <v>-11125</v>
      </c>
      <c r="F90" s="240">
        <f t="shared" ref="F90:F94" si="25">E90-C90</f>
        <v>7049.1999999999534</v>
      </c>
      <c r="G90" s="241">
        <f>F90/C90*100</f>
        <v>-38.786851690858313</v>
      </c>
      <c r="H90" s="240">
        <f>E90-D90</f>
        <v>-12378.400000000116</v>
      </c>
      <c r="I90" s="241">
        <f>H90/D90*100</f>
        <v>-987.58576671445417</v>
      </c>
    </row>
    <row r="91" spans="2:9" ht="31.2">
      <c r="B91" s="253" t="s">
        <v>74</v>
      </c>
      <c r="C91" s="240">
        <f>'Осн. фін. пок.'!C41</f>
        <v>-15757.199999999953</v>
      </c>
      <c r="D91" s="240">
        <f>'Осн. фін. пок.'!E41</f>
        <v>-0.19999999988431227</v>
      </c>
      <c r="E91" s="240">
        <f>'Осн. фін. пок.'!D41</f>
        <v>-14193</v>
      </c>
      <c r="F91" s="240">
        <f t="shared" si="25"/>
        <v>1564.1999999999534</v>
      </c>
      <c r="G91" s="241">
        <f t="shared" ref="G91:G94" si="26">F91/C91*100</f>
        <v>-9.9268905643131902</v>
      </c>
      <c r="H91" s="240">
        <f t="shared" ref="H91" si="27">E91-D91</f>
        <v>-14192.800000000116</v>
      </c>
      <c r="I91" s="241"/>
    </row>
    <row r="92" spans="2:9" ht="31.2">
      <c r="B92" s="253" t="s">
        <v>768</v>
      </c>
      <c r="C92" s="240">
        <f>C94</f>
        <v>-15757.199999999953</v>
      </c>
      <c r="D92" s="240" t="str">
        <f t="shared" ref="D92:E92" si="28">D94</f>
        <v/>
      </c>
      <c r="E92" s="240">
        <f t="shared" si="28"/>
        <v>-14193</v>
      </c>
      <c r="F92" s="240">
        <f>E92-C92</f>
        <v>1564.1999999999534</v>
      </c>
      <c r="G92" s="241">
        <f>F92/C92*100</f>
        <v>-9.9268905643131902</v>
      </c>
      <c r="H92" s="240"/>
      <c r="I92" s="241"/>
    </row>
    <row r="93" spans="2:9" ht="15.6">
      <c r="B93" s="254" t="s">
        <v>769</v>
      </c>
      <c r="C93" s="317"/>
      <c r="D93" s="317"/>
      <c r="E93" s="240"/>
      <c r="F93" s="240"/>
      <c r="G93" s="241"/>
      <c r="H93" s="240"/>
      <c r="I93" s="241"/>
    </row>
    <row r="94" spans="2:9" ht="15.6">
      <c r="B94" s="254" t="s">
        <v>25</v>
      </c>
      <c r="C94" s="240">
        <f>'Осн. фін. пок.'!C48</f>
        <v>-15757.199999999953</v>
      </c>
      <c r="D94" s="240" t="str">
        <f>'Осн. фін. пок.'!E48</f>
        <v/>
      </c>
      <c r="E94" s="240">
        <f>'Осн. фін. пок.'!D48</f>
        <v>-14193</v>
      </c>
      <c r="F94" s="240">
        <f t="shared" si="25"/>
        <v>1564.1999999999534</v>
      </c>
      <c r="G94" s="241">
        <f t="shared" si="26"/>
        <v>-9.9268905643131902</v>
      </c>
      <c r="H94" s="240"/>
      <c r="I94" s="241"/>
    </row>
    <row r="97" spans="2:9" ht="16.8">
      <c r="B97" s="440" t="s">
        <v>770</v>
      </c>
      <c r="C97" s="440"/>
      <c r="D97" s="440"/>
      <c r="E97" s="440"/>
      <c r="F97" s="440"/>
      <c r="G97" s="440"/>
      <c r="H97" s="440"/>
      <c r="I97" s="440"/>
    </row>
    <row r="98" spans="2:9" ht="17.399999999999999" thickBot="1">
      <c r="B98" s="256"/>
      <c r="C98" s="256"/>
      <c r="D98" s="256"/>
      <c r="E98" s="256"/>
      <c r="F98" s="256"/>
      <c r="G98" s="256"/>
      <c r="H98" s="256"/>
      <c r="I98" s="256"/>
    </row>
    <row r="99" spans="2:9" ht="15.6" customHeight="1" thickBot="1">
      <c r="B99" s="441" t="s">
        <v>742</v>
      </c>
      <c r="C99" s="441" t="s">
        <v>775</v>
      </c>
      <c r="D99" s="441" t="s">
        <v>771</v>
      </c>
      <c r="E99" s="441" t="s">
        <v>776</v>
      </c>
      <c r="F99" s="444" t="s">
        <v>743</v>
      </c>
      <c r="G99" s="445"/>
      <c r="H99" s="445"/>
      <c r="I99" s="446"/>
    </row>
    <row r="100" spans="2:9" ht="31.5" customHeight="1" thickBot="1">
      <c r="B100" s="442"/>
      <c r="C100" s="442"/>
      <c r="D100" s="442"/>
      <c r="E100" s="442"/>
      <c r="F100" s="444" t="s">
        <v>779</v>
      </c>
      <c r="G100" s="446"/>
      <c r="H100" s="447" t="s">
        <v>780</v>
      </c>
      <c r="I100" s="448"/>
    </row>
    <row r="101" spans="2:9" ht="14.4" thickBot="1">
      <c r="B101" s="443"/>
      <c r="C101" s="443"/>
      <c r="D101" s="443"/>
      <c r="E101" s="443"/>
      <c r="F101" s="313" t="s">
        <v>744</v>
      </c>
      <c r="G101" s="313" t="s">
        <v>745</v>
      </c>
      <c r="H101" s="313" t="s">
        <v>744</v>
      </c>
      <c r="I101" s="314" t="s">
        <v>745</v>
      </c>
    </row>
    <row r="102" spans="2:9" ht="31.2">
      <c r="B102" s="235" t="s">
        <v>772</v>
      </c>
      <c r="C102" s="236">
        <f>SUM(C103:C105)</f>
        <v>1499</v>
      </c>
      <c r="D102" s="236">
        <f t="shared" ref="D102:E102" si="29">SUM(D103:D105)</f>
        <v>1716</v>
      </c>
      <c r="E102" s="236">
        <f t="shared" si="29"/>
        <v>1429</v>
      </c>
      <c r="F102" s="237">
        <f t="shared" ref="F102:F113" si="30">E102-C102</f>
        <v>-70</v>
      </c>
      <c r="G102" s="237">
        <f t="shared" ref="G102:G113" si="31">F102/C102*100</f>
        <v>-4.6697798532354904</v>
      </c>
      <c r="H102" s="237">
        <f t="shared" ref="H102:H113" si="32">E102-D102</f>
        <v>-287</v>
      </c>
      <c r="I102" s="237">
        <f t="shared" ref="I102:I113" si="33">H102/D102*100</f>
        <v>-16.724941724941726</v>
      </c>
    </row>
    <row r="103" spans="2:9" ht="15.6">
      <c r="B103" s="253" t="s">
        <v>157</v>
      </c>
      <c r="C103" s="240">
        <v>1</v>
      </c>
      <c r="D103" s="240">
        <v>1</v>
      </c>
      <c r="E103" s="240">
        <v>1</v>
      </c>
      <c r="F103" s="241">
        <f t="shared" si="30"/>
        <v>0</v>
      </c>
      <c r="G103" s="241">
        <f t="shared" si="31"/>
        <v>0</v>
      </c>
      <c r="H103" s="241">
        <f t="shared" si="32"/>
        <v>0</v>
      </c>
      <c r="I103" s="241">
        <f t="shared" si="33"/>
        <v>0</v>
      </c>
    </row>
    <row r="104" spans="2:9" ht="31.2">
      <c r="B104" s="253" t="s">
        <v>156</v>
      </c>
      <c r="C104" s="240">
        <v>252</v>
      </c>
      <c r="D104" s="240">
        <v>263</v>
      </c>
      <c r="E104" s="240">
        <v>231</v>
      </c>
      <c r="F104" s="241">
        <f t="shared" si="30"/>
        <v>-21</v>
      </c>
      <c r="G104" s="241">
        <f t="shared" si="31"/>
        <v>-8.3333333333333321</v>
      </c>
      <c r="H104" s="241">
        <f t="shared" si="32"/>
        <v>-32</v>
      </c>
      <c r="I104" s="241">
        <f t="shared" si="33"/>
        <v>-12.167300380228136</v>
      </c>
    </row>
    <row r="105" spans="2:9" ht="15.6">
      <c r="B105" s="253" t="s">
        <v>158</v>
      </c>
      <c r="C105" s="240">
        <v>1246</v>
      </c>
      <c r="D105" s="240">
        <v>1452</v>
      </c>
      <c r="E105" s="240">
        <v>1197</v>
      </c>
      <c r="F105" s="241">
        <f t="shared" si="30"/>
        <v>-49</v>
      </c>
      <c r="G105" s="241">
        <f t="shared" si="31"/>
        <v>-3.9325842696629212</v>
      </c>
      <c r="H105" s="241">
        <f t="shared" si="32"/>
        <v>-255</v>
      </c>
      <c r="I105" s="241">
        <f t="shared" si="33"/>
        <v>-17.561983471074381</v>
      </c>
    </row>
    <row r="106" spans="2:9" ht="31.2">
      <c r="B106" s="235" t="s">
        <v>773</v>
      </c>
      <c r="C106" s="236">
        <f>SUM(C107:C109)</f>
        <v>295481</v>
      </c>
      <c r="D106" s="236">
        <f t="shared" ref="D106:E106" si="34">SUM(D107:D109)</f>
        <v>375193</v>
      </c>
      <c r="E106" s="236">
        <f t="shared" si="34"/>
        <v>295325</v>
      </c>
      <c r="F106" s="237">
        <f t="shared" si="30"/>
        <v>-156</v>
      </c>
      <c r="G106" s="237">
        <f t="shared" si="31"/>
        <v>-5.2795272792497655E-2</v>
      </c>
      <c r="H106" s="237">
        <f t="shared" si="32"/>
        <v>-79868</v>
      </c>
      <c r="I106" s="237">
        <f t="shared" si="33"/>
        <v>-21.287177532629872</v>
      </c>
    </row>
    <row r="107" spans="2:9" ht="15.6">
      <c r="B107" s="253" t="s">
        <v>157</v>
      </c>
      <c r="C107" s="240">
        <v>988</v>
      </c>
      <c r="D107" s="240">
        <v>1703</v>
      </c>
      <c r="E107" s="240">
        <v>1686</v>
      </c>
      <c r="F107" s="241">
        <f t="shared" si="30"/>
        <v>698</v>
      </c>
      <c r="G107" s="241">
        <f t="shared" si="31"/>
        <v>70.647773279352222</v>
      </c>
      <c r="H107" s="241">
        <f t="shared" si="32"/>
        <v>-17</v>
      </c>
      <c r="I107" s="241">
        <f t="shared" si="33"/>
        <v>-0.99823840281855547</v>
      </c>
    </row>
    <row r="108" spans="2:9" ht="31.2">
      <c r="B108" s="253" t="s">
        <v>156</v>
      </c>
      <c r="C108" s="240">
        <v>54744</v>
      </c>
      <c r="D108" s="240">
        <v>80843</v>
      </c>
      <c r="E108" s="240">
        <v>63523</v>
      </c>
      <c r="F108" s="241">
        <f t="shared" si="30"/>
        <v>8779</v>
      </c>
      <c r="G108" s="241">
        <f t="shared" si="31"/>
        <v>16.036460616688586</v>
      </c>
      <c r="H108" s="241">
        <f t="shared" si="32"/>
        <v>-17320</v>
      </c>
      <c r="I108" s="241">
        <f t="shared" si="33"/>
        <v>-21.424242049404402</v>
      </c>
    </row>
    <row r="109" spans="2:9" ht="15.6">
      <c r="B109" s="253" t="s">
        <v>158</v>
      </c>
      <c r="C109" s="240">
        <v>239749</v>
      </c>
      <c r="D109" s="240">
        <v>292647</v>
      </c>
      <c r="E109" s="240">
        <v>230116</v>
      </c>
      <c r="F109" s="241">
        <f t="shared" si="30"/>
        <v>-9633</v>
      </c>
      <c r="G109" s="241">
        <f t="shared" si="31"/>
        <v>-4.0179521082465408</v>
      </c>
      <c r="H109" s="241">
        <f t="shared" si="32"/>
        <v>-62531</v>
      </c>
      <c r="I109" s="241">
        <f t="shared" si="33"/>
        <v>-21.367381179373101</v>
      </c>
    </row>
    <row r="110" spans="2:9" ht="46.8">
      <c r="B110" s="235" t="s">
        <v>774</v>
      </c>
      <c r="C110" s="236">
        <f t="shared" ref="C110:E113" si="35">C106/C102/12*1000</f>
        <v>16426.562152546143</v>
      </c>
      <c r="D110" s="236">
        <f t="shared" si="35"/>
        <v>18220.328282828283</v>
      </c>
      <c r="E110" s="236">
        <f t="shared" si="35"/>
        <v>17222.12502915792</v>
      </c>
      <c r="F110" s="236">
        <f>E110-C110</f>
        <v>795.56287661177703</v>
      </c>
      <c r="G110" s="237">
        <f t="shared" si="31"/>
        <v>4.8431489755661596</v>
      </c>
      <c r="H110" s="236">
        <f t="shared" si="32"/>
        <v>-998.20325367036276</v>
      </c>
      <c r="I110" s="237">
        <f t="shared" si="33"/>
        <v>-5.4785140979656095</v>
      </c>
    </row>
    <row r="111" spans="2:9" ht="15.6">
      <c r="B111" s="253" t="s">
        <v>157</v>
      </c>
      <c r="C111" s="240">
        <f t="shared" si="35"/>
        <v>82333.333333333328</v>
      </c>
      <c r="D111" s="240">
        <f t="shared" si="35"/>
        <v>141916.66666666666</v>
      </c>
      <c r="E111" s="240">
        <f t="shared" si="35"/>
        <v>140500</v>
      </c>
      <c r="F111" s="241">
        <f>E111-C111</f>
        <v>58166.666666666672</v>
      </c>
      <c r="G111" s="241">
        <f t="shared" si="31"/>
        <v>70.647773279352236</v>
      </c>
      <c r="H111" s="240">
        <f>E111-D111</f>
        <v>-1416.666666666657</v>
      </c>
      <c r="I111" s="241">
        <f t="shared" si="33"/>
        <v>-0.9982384028185487</v>
      </c>
    </row>
    <row r="112" spans="2:9" ht="31.2">
      <c r="B112" s="253" t="s">
        <v>156</v>
      </c>
      <c r="C112" s="240">
        <f t="shared" si="35"/>
        <v>18103.174603174604</v>
      </c>
      <c r="D112" s="240">
        <f t="shared" si="35"/>
        <v>25615.652724968313</v>
      </c>
      <c r="E112" s="240">
        <f t="shared" si="35"/>
        <v>22915.945165945162</v>
      </c>
      <c r="F112" s="241">
        <f t="shared" si="30"/>
        <v>4812.7705627705582</v>
      </c>
      <c r="G112" s="241">
        <f t="shared" si="31"/>
        <v>26.585229763660251</v>
      </c>
      <c r="H112" s="240">
        <f t="shared" si="32"/>
        <v>-2699.7075590231507</v>
      </c>
      <c r="I112" s="241">
        <f t="shared" si="33"/>
        <v>-10.539288567070821</v>
      </c>
    </row>
    <row r="113" spans="2:9" ht="15.6">
      <c r="B113" s="253" t="s">
        <v>158</v>
      </c>
      <c r="C113" s="240">
        <f t="shared" si="35"/>
        <v>16034.577314071697</v>
      </c>
      <c r="D113" s="240">
        <f t="shared" si="35"/>
        <v>16795.626721763085</v>
      </c>
      <c r="E113" s="240">
        <f t="shared" si="35"/>
        <v>16020.328599275967</v>
      </c>
      <c r="F113" s="241">
        <f t="shared" si="30"/>
        <v>-14.248714795730848</v>
      </c>
      <c r="G113" s="241">
        <f t="shared" si="31"/>
        <v>-8.8862428467175097E-2</v>
      </c>
      <c r="H113" s="240">
        <f t="shared" si="32"/>
        <v>-775.29812248711823</v>
      </c>
      <c r="I113" s="241">
        <f t="shared" si="33"/>
        <v>-4.6160714055553438</v>
      </c>
    </row>
  </sheetData>
  <mergeCells count="41">
    <mergeCell ref="B5:I5"/>
    <mergeCell ref="B6:B8"/>
    <mergeCell ref="C6:C8"/>
    <mergeCell ref="D6:D8"/>
    <mergeCell ref="E6:E8"/>
    <mergeCell ref="F6:I6"/>
    <mergeCell ref="F7:G7"/>
    <mergeCell ref="H7:I7"/>
    <mergeCell ref="B49:I49"/>
    <mergeCell ref="B51:B53"/>
    <mergeCell ref="C51:C53"/>
    <mergeCell ref="D51:D53"/>
    <mergeCell ref="E51:E53"/>
    <mergeCell ref="F51:I51"/>
    <mergeCell ref="F52:G52"/>
    <mergeCell ref="H52:I52"/>
    <mergeCell ref="B63:I63"/>
    <mergeCell ref="B64:I64"/>
    <mergeCell ref="B67:B69"/>
    <mergeCell ref="C67:C69"/>
    <mergeCell ref="D67:D69"/>
    <mergeCell ref="E67:E69"/>
    <mergeCell ref="F67:I67"/>
    <mergeCell ref="F68:G68"/>
    <mergeCell ref="H68:I68"/>
    <mergeCell ref="B83:I83"/>
    <mergeCell ref="B86:B88"/>
    <mergeCell ref="C86:C88"/>
    <mergeCell ref="D86:D88"/>
    <mergeCell ref="E86:E88"/>
    <mergeCell ref="F86:I86"/>
    <mergeCell ref="F87:G87"/>
    <mergeCell ref="H87:I87"/>
    <mergeCell ref="B97:I97"/>
    <mergeCell ref="B99:B101"/>
    <mergeCell ref="C99:C101"/>
    <mergeCell ref="D99:D101"/>
    <mergeCell ref="E99:E101"/>
    <mergeCell ref="F99:I99"/>
    <mergeCell ref="F100:G100"/>
    <mergeCell ref="H100:I10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view="pageBreakPreview" zoomScale="65" zoomScaleNormal="75" zoomScaleSheetLayoutView="65" workbookViewId="0">
      <pane xSplit="1" ySplit="5" topLeftCell="B21" activePane="bottomRight" state="frozen"/>
      <selection pane="topRight" activeCell="B1" sqref="B1"/>
      <selection pane="bottomLeft" activeCell="A6" sqref="A6"/>
      <selection pane="bottomRight" activeCell="A23" sqref="A23:XFD23"/>
    </sheetView>
  </sheetViews>
  <sheetFormatPr defaultColWidth="9.109375" defaultRowHeight="13.2"/>
  <cols>
    <col min="1" max="1" width="95" style="2" customWidth="1"/>
    <col min="2" max="2" width="19.44140625" style="2" customWidth="1"/>
    <col min="3" max="7" width="26" style="2" customWidth="1"/>
    <col min="8" max="8" width="71" style="2" customWidth="1"/>
    <col min="9" max="9" width="9.5546875" style="2" customWidth="1"/>
    <col min="10" max="10" width="9.109375" style="2" customWidth="1"/>
    <col min="11" max="11" width="27.109375" style="2" customWidth="1"/>
    <col min="12" max="16384" width="9.109375" style="2"/>
  </cols>
  <sheetData>
    <row r="1" spans="1:8" ht="24.75" customHeight="1">
      <c r="A1" s="64"/>
      <c r="B1" s="64"/>
      <c r="C1" s="64"/>
      <c r="D1" s="64"/>
      <c r="E1" s="64"/>
      <c r="F1" s="64"/>
      <c r="G1" s="64"/>
      <c r="H1" s="51" t="s">
        <v>346</v>
      </c>
    </row>
    <row r="2" spans="1:8" ht="41.25" customHeight="1">
      <c r="A2" s="535" t="s">
        <v>127</v>
      </c>
      <c r="B2" s="535"/>
      <c r="C2" s="535"/>
      <c r="D2" s="535"/>
      <c r="E2" s="535"/>
      <c r="F2" s="535"/>
      <c r="G2" s="535"/>
      <c r="H2" s="535"/>
    </row>
    <row r="3" spans="1:8" ht="49.5" customHeight="1">
      <c r="A3" s="536" t="s">
        <v>153</v>
      </c>
      <c r="B3" s="536" t="s">
        <v>0</v>
      </c>
      <c r="C3" s="536" t="s">
        <v>76</v>
      </c>
      <c r="D3" s="538" t="s">
        <v>379</v>
      </c>
      <c r="E3" s="538"/>
      <c r="F3" s="538" t="s">
        <v>427</v>
      </c>
      <c r="G3" s="538"/>
      <c r="H3" s="536" t="s">
        <v>170</v>
      </c>
    </row>
    <row r="4" spans="1:8" ht="63" customHeight="1">
      <c r="A4" s="537"/>
      <c r="B4" s="537"/>
      <c r="C4" s="537"/>
      <c r="D4" s="1" t="s">
        <v>439</v>
      </c>
      <c r="E4" s="1" t="s">
        <v>440</v>
      </c>
      <c r="F4" s="1" t="s">
        <v>139</v>
      </c>
      <c r="G4" s="1" t="s">
        <v>140</v>
      </c>
      <c r="H4" s="537"/>
    </row>
    <row r="5" spans="1:8" s="3" customFormat="1" ht="29.25" customHeight="1">
      <c r="A5" s="11">
        <v>1</v>
      </c>
      <c r="B5" s="11">
        <v>2</v>
      </c>
      <c r="C5" s="11">
        <v>3</v>
      </c>
      <c r="D5" s="11">
        <v>4</v>
      </c>
      <c r="E5" s="11">
        <v>5</v>
      </c>
      <c r="F5" s="11">
        <v>6</v>
      </c>
      <c r="G5" s="11">
        <v>7</v>
      </c>
      <c r="H5" s="11">
        <v>8</v>
      </c>
    </row>
    <row r="6" spans="1:8" s="3" customFormat="1" ht="36" customHeight="1">
      <c r="A6" s="65" t="s">
        <v>114</v>
      </c>
      <c r="B6" s="12"/>
      <c r="C6" s="11"/>
      <c r="D6" s="11"/>
      <c r="E6" s="11"/>
      <c r="F6" s="11"/>
      <c r="G6" s="11"/>
      <c r="H6" s="11"/>
    </row>
    <row r="7" spans="1:8" ht="69.75" customHeight="1">
      <c r="A7" s="42" t="s">
        <v>321</v>
      </c>
      <c r="B7" s="161">
        <v>5000</v>
      </c>
      <c r="C7" s="13" t="s">
        <v>177</v>
      </c>
      <c r="D7" s="349">
        <f>IF('Осн. фін. пок.'!C25=0,0,'Осн. фін. пок.'!C27/'Осн. фін. пок.'!C25*100)</f>
        <v>-201.32726114172192</v>
      </c>
      <c r="E7" s="105">
        <f>IF('Осн. фін. пок.'!D25=0,0,'Осн. фін. пок.'!D27/'Осн. фін. пок.'!D25*100)</f>
        <v>-439.38690870769807</v>
      </c>
      <c r="F7" s="349">
        <f>IF('Осн. фін. пок.'!E25=0,0,'Осн. фін. пок.'!E27/'Осн. фін. пок.'!E25*100)</f>
        <v>-246.91188830831953</v>
      </c>
      <c r="G7" s="105">
        <f>IF('Осн. фін. пок.'!F25=0,0,'Осн. фін. пок.'!F27/'Осн. фін. пок.'!F25*100)</f>
        <v>-439.38690870769807</v>
      </c>
      <c r="H7" s="14"/>
    </row>
    <row r="8" spans="1:8" ht="69.75" customHeight="1">
      <c r="A8" s="42" t="s">
        <v>322</v>
      </c>
      <c r="B8" s="161">
        <v>5010</v>
      </c>
      <c r="C8" s="13" t="s">
        <v>177</v>
      </c>
      <c r="D8" s="349">
        <f>IF('Осн. фін. пок.'!C25=0,0,'Осн. фін. пок.'!C33/'Осн. фін. пок.'!C25*100)</f>
        <v>5.7979256022661199</v>
      </c>
      <c r="E8" s="105">
        <f>IF('Осн. фін. пок.'!D25=0,0,'Осн. фін. пок.'!D33/'Осн. фін. пок.'!D25*100)</f>
        <v>24.894192035082352</v>
      </c>
      <c r="F8" s="349">
        <f>IF('Осн. фін. пок.'!E25=0,0,'Осн. фін. пок.'!E33/'Осн. фін. пок.'!E25*100)</f>
        <v>15.388987519832867</v>
      </c>
      <c r="G8" s="105">
        <f>IF('Осн. фін. пок.'!F25=0,0,'Осн. фін. пок.'!F33/'Осн. фін. пок.'!F25*100)</f>
        <v>24.894192035082352</v>
      </c>
      <c r="H8" s="14"/>
    </row>
    <row r="9" spans="1:8" ht="56.25" customHeight="1">
      <c r="A9" s="14" t="s">
        <v>323</v>
      </c>
      <c r="B9" s="161">
        <v>5020</v>
      </c>
      <c r="C9" s="13" t="s">
        <v>177</v>
      </c>
      <c r="D9" s="349">
        <f>IF('Осн. фін. пок.'!C99=0,0,'Осн. фін. пок.'!C46/'Осн. фін. пок.'!C99*100)</f>
        <v>-3.5067354192027778</v>
      </c>
      <c r="E9" s="105">
        <f>IF('Осн. фін. пок.'!D99=0,0,'Осн. фін. пок.'!D46/'Осн. фін. пок.'!D99*100)</f>
        <v>-2.1713123030321571</v>
      </c>
      <c r="F9" s="349">
        <f>IF('Осн. фін. пок.'!E99=0,0,'Осн. фін. пок.'!E46/'Осн. фін. пок.'!E99*100)</f>
        <v>-3.7889264812677804E-5</v>
      </c>
      <c r="G9" s="105">
        <f>IF('Осн. фін. пок.'!F99=0,0,'Осн. фін. пок.'!F46/'Осн. фін. пок.'!F99*100)</f>
        <v>-2.1713123030321571</v>
      </c>
      <c r="H9" s="14" t="s">
        <v>178</v>
      </c>
    </row>
    <row r="10" spans="1:8" ht="56.25" customHeight="1">
      <c r="A10" s="14" t="s">
        <v>380</v>
      </c>
      <c r="B10" s="161">
        <v>5030</v>
      </c>
      <c r="C10" s="13" t="s">
        <v>177</v>
      </c>
      <c r="D10" s="349">
        <f>IF('Осн. фін. пок.'!C100=0,0,'Осн. фін. пок.'!C46/'Осн. фін. пок.'!C100*100)</f>
        <v>-5.421552436003287</v>
      </c>
      <c r="E10" s="105">
        <f>IF('Осн. фін. пок.'!D100=0,0,'Осн. фін. пок.'!D46/'Осн. фін. пок.'!D100*100)</f>
        <v>-3.0688828297811153</v>
      </c>
      <c r="F10" s="349">
        <f>IF('Осн. фін. пок.'!E100=0,0,'Осн. фін. пок.'!E46/'Осн. фін. пок.'!E100*100)</f>
        <v>-5.5428685421233699E-5</v>
      </c>
      <c r="G10" s="105">
        <f>IF('Осн. фін. пок.'!F100=0,0,'Осн. фін. пок.'!F46/'Осн. фін. пок.'!F100*100)</f>
        <v>-3.0688828297811153</v>
      </c>
      <c r="H10" s="14"/>
    </row>
    <row r="11" spans="1:8" ht="69.75" customHeight="1">
      <c r="A11" s="42" t="s">
        <v>324</v>
      </c>
      <c r="B11" s="161">
        <v>5040</v>
      </c>
      <c r="C11" s="13" t="s">
        <v>177</v>
      </c>
      <c r="D11" s="349">
        <f>IF('Осн. фін. пок.'!C25=0,0,'Осн. фін. пок.'!C46/'Осн. фін. пок.'!C25*100)</f>
        <v>-8.4374548200028663</v>
      </c>
      <c r="E11" s="105">
        <f>IF('Осн. фін. пок.'!D25=0,0,'Осн. фін. пок.'!D46/'Осн. фін. пок.'!D25*100)</f>
        <v>-12.062108000611902</v>
      </c>
      <c r="F11" s="349">
        <f>IF('Осн. фін. пок.'!E25=0,0,'Осн. фін. пок.'!E46/'Осн. фін. пок.'!E25*100)</f>
        <v>-7.3150267431640082E-5</v>
      </c>
      <c r="G11" s="105">
        <f>IF('Осн. фін. пок.'!F25=0,0,'Осн. фін. пок.'!F46/'Осн. фін. пок.'!F25*100)</f>
        <v>-12.062108000611902</v>
      </c>
      <c r="H11" s="14" t="s">
        <v>179</v>
      </c>
    </row>
    <row r="12" spans="1:8" s="3" customFormat="1" ht="36" customHeight="1">
      <c r="A12" s="65" t="s">
        <v>116</v>
      </c>
      <c r="B12" s="12"/>
      <c r="C12" s="11"/>
      <c r="D12" s="349"/>
      <c r="E12" s="105"/>
      <c r="F12" s="349"/>
      <c r="G12" s="105"/>
      <c r="H12" s="11"/>
    </row>
    <row r="13" spans="1:8" ht="69.75" customHeight="1">
      <c r="A13" s="42" t="s">
        <v>381</v>
      </c>
      <c r="B13" s="161">
        <v>5100</v>
      </c>
      <c r="C13" s="13"/>
      <c r="D13" s="349">
        <f>IF('Осн. фін. пок.'!C33=0,0,('Осн. фін. пок.'!C101+'Осн. фін. пок.'!C102)/'Осн. фін. пок.'!C33)</f>
        <v>14.656809324147039</v>
      </c>
      <c r="E13" s="105">
        <f>IF('Осн. фін. пок.'!D33=0,0,('Осн. фін. пок.'!D101+'Осн. фін. пок.'!D102)/'Осн. фін. пок.'!D33)</f>
        <v>6.5266625699849792</v>
      </c>
      <c r="F13" s="349">
        <f>IF('Осн. фін. пок.'!E33=0,0,('Осн. фін. пок.'!E101+'Осн. фін. пок.'!E102)/'Осн. фін. пок.'!E33)</f>
        <v>3.9698158051099228</v>
      </c>
      <c r="G13" s="105">
        <f>IF('Осн. фін. пок.'!F33=0,0,('Осн. фін. пок.'!F101+'Осн. фін. пок.'!F102)/'Осн. фін. пок.'!F33)</f>
        <v>6.5266625699849792</v>
      </c>
      <c r="H13" s="14"/>
    </row>
    <row r="14" spans="1:8" ht="69.75" customHeight="1">
      <c r="A14" s="42" t="s">
        <v>382</v>
      </c>
      <c r="B14" s="161">
        <v>5110</v>
      </c>
      <c r="C14" s="13" t="s">
        <v>111</v>
      </c>
      <c r="D14" s="349">
        <f>IF(('Осн. фін. пок.'!C101+'Осн. фін. пок.'!C102)=0,0,'Осн. фін. пок.'!C100/('Осн. фін. пок.'!C101+'Осн. фін. пок.'!C102))</f>
        <v>1.8313684223791911</v>
      </c>
      <c r="E14" s="105">
        <f>IF(('Осн. фін. пок.'!D101+'Осн. фін. пок.'!D102)=0,0,'Осн. фін. пок.'!D100/('Осн. фін. пок.'!D101+'Осн. фін. пок.'!D102))</f>
        <v>2.4190993780697672</v>
      </c>
      <c r="F14" s="349">
        <f>IF(('Осн. фін. пок.'!E101+'Осн. фін. пок.'!E102)=0,0,'Осн. фін. пок.'!E100/('Осн. фін. пок.'!E101+'Осн. фін. пок.'!E102))</f>
        <v>2.1602346883793331</v>
      </c>
      <c r="G14" s="105">
        <f>IF(('Осн. фін. пок.'!F101+'Осн. фін. пок.'!F102)=0,0,'Осн. фін. пок.'!F100/('Осн. фін. пок.'!F101+'Осн. фін. пок.'!F102))</f>
        <v>2.4190993780697672</v>
      </c>
      <c r="H14" s="14" t="s">
        <v>180</v>
      </c>
    </row>
    <row r="15" spans="1:8" ht="56.25" customHeight="1">
      <c r="A15" s="14" t="s">
        <v>383</v>
      </c>
      <c r="B15" s="161">
        <v>5120</v>
      </c>
      <c r="C15" s="13" t="s">
        <v>111</v>
      </c>
      <c r="D15" s="349">
        <f>IF('Осн. фін. пок.'!C102=0,0,'Осн. фін. пок.'!C97/'Осн. фін. пок.'!C102)</f>
        <v>0.38342230154220452</v>
      </c>
      <c r="E15" s="105">
        <f>IF('Осн. фін. пок.'!D102=0,0,'Осн. фін. пок.'!D97/'Осн. фін. пок.'!D102)</f>
        <v>1.1739207758174277</v>
      </c>
      <c r="F15" s="349">
        <f>IF('Осн. фін. пок.'!E102=0,0,'Осн. фін. пок.'!E97/'Осн. фін. пок.'!E102)</f>
        <v>0.35053583188648746</v>
      </c>
      <c r="G15" s="105">
        <f>IF('Осн. фін. пок.'!F102=0,0,'Осн. фін. пок.'!F97/'Осн. фін. пок.'!F102)</f>
        <v>1.1739207758174277</v>
      </c>
      <c r="H15" s="14" t="s">
        <v>182</v>
      </c>
    </row>
    <row r="16" spans="1:8" s="3" customFormat="1" ht="36" customHeight="1">
      <c r="A16" s="65" t="s">
        <v>115</v>
      </c>
      <c r="B16" s="12"/>
      <c r="C16" s="11"/>
      <c r="D16" s="349"/>
      <c r="E16" s="105"/>
      <c r="F16" s="349"/>
      <c r="G16" s="105"/>
      <c r="H16" s="11"/>
    </row>
    <row r="17" spans="1:11" ht="49.5" customHeight="1">
      <c r="A17" s="14" t="s">
        <v>309</v>
      </c>
      <c r="B17" s="161">
        <v>5200</v>
      </c>
      <c r="C17" s="13"/>
      <c r="D17" s="349">
        <f>IF('Осн. фін. пок.'!C56=0,0,'Осн. фін. пок.'!C74/'Осн. фін. пок.'!C56)</f>
        <v>5.5722570857182268</v>
      </c>
      <c r="E17" s="105">
        <f>IF('Осн. фін. пок.'!D56=0,0,'Осн. фін. пок.'!D74/'Осн. фін. пок.'!D56)</f>
        <v>0.54338520919415101</v>
      </c>
      <c r="F17" s="349">
        <f>IF('Осн. фін. пок.'!E56=0,0,'Осн. фін. пок.'!E74/'Осн. фін. пок.'!E56)</f>
        <v>3.1016180199159757</v>
      </c>
      <c r="G17" s="105">
        <f>IF('Осн. фін. пок.'!F56=0,0,'Осн. фін. пок.'!F74/'Осн. фін. пок.'!F56)</f>
        <v>0.54338520919415101</v>
      </c>
      <c r="H17" s="14"/>
    </row>
    <row r="18" spans="1:11" ht="92.25" customHeight="1">
      <c r="A18" s="14" t="s">
        <v>310</v>
      </c>
      <c r="B18" s="161">
        <v>5210</v>
      </c>
      <c r="C18" s="13"/>
      <c r="D18" s="349">
        <f>IF('Осн. фін. пок.'!C25=0,0,'Осн. фін. пок.'!C74/'Осн. фін. пок.'!C25)</f>
        <v>0.8653494187509706</v>
      </c>
      <c r="E18" s="105">
        <f>IF('Осн. фін. пок.'!D25=0,0,'Осн. фін. пок.'!D74/'Осн. фін. пок.'!D25)</f>
        <v>0.18664694984107558</v>
      </c>
      <c r="F18" s="349">
        <f>IF('Осн. фін. пок.'!E25=0,0,'Осн. фін. пок.'!E74/'Осн. фін. пок.'!E25)</f>
        <v>0.46308764352996862</v>
      </c>
      <c r="G18" s="105">
        <f>IF('Осн. фін. пок.'!F25=0,0,'Осн. фін. пок.'!F74/'Осн. фін. пок.'!F25)</f>
        <v>0.18664694984107558</v>
      </c>
      <c r="H18" s="14"/>
    </row>
    <row r="19" spans="1:11" ht="57" customHeight="1">
      <c r="A19" s="14" t="s">
        <v>311</v>
      </c>
      <c r="B19" s="161">
        <v>5220</v>
      </c>
      <c r="C19" s="13" t="s">
        <v>266</v>
      </c>
      <c r="D19" s="349">
        <f>IF('Осн. фін. пок.'!C95=0,0,'Осн. фін. пок.'!C96/'Осн. фін. пок.'!C95)</f>
        <v>0.33297209381955145</v>
      </c>
      <c r="E19" s="105">
        <f>IF('Осн. фін. пок.'!D95=0,0,'Осн. фін. пок.'!D96/'Осн. фін. пок.'!D95)</f>
        <v>0.38368115518478174</v>
      </c>
      <c r="F19" s="349">
        <f>IF('Осн. фін. пок.'!E95=0,0,'Осн. фін. пок.'!E96/'Осн. фін. пок.'!E95)</f>
        <v>0.3626077281960573</v>
      </c>
      <c r="G19" s="105">
        <f>IF('Осн. фін. пок.'!F95=0,0,'Осн. фін. пок.'!F96/'Осн. фін. пок.'!F95)</f>
        <v>0.38368115518478174</v>
      </c>
      <c r="H19" s="14" t="s">
        <v>181</v>
      </c>
    </row>
    <row r="20" spans="1:11" ht="44.25" customHeight="1">
      <c r="A20" s="65" t="s">
        <v>173</v>
      </c>
      <c r="B20" s="161"/>
      <c r="C20" s="13"/>
      <c r="D20" s="349"/>
      <c r="E20" s="105"/>
      <c r="F20" s="105"/>
      <c r="G20" s="105"/>
      <c r="H20" s="14"/>
    </row>
    <row r="21" spans="1:11" ht="81.75" customHeight="1">
      <c r="A21" s="14" t="s">
        <v>184</v>
      </c>
      <c r="B21" s="161">
        <v>5300</v>
      </c>
      <c r="C21" s="13"/>
      <c r="D21" s="105"/>
      <c r="E21" s="105"/>
      <c r="F21" s="105"/>
      <c r="G21" s="105"/>
      <c r="H21" s="15"/>
    </row>
    <row r="22" spans="1:11" ht="100.8" customHeight="1">
      <c r="A22" s="16"/>
      <c r="B22" s="16"/>
      <c r="C22" s="16"/>
      <c r="D22" s="16"/>
      <c r="E22" s="16"/>
      <c r="F22" s="16"/>
      <c r="G22" s="16"/>
      <c r="H22" s="16"/>
      <c r="K22" s="4"/>
    </row>
    <row r="23" spans="1:11" s="60" customFormat="1" ht="27.6" customHeight="1">
      <c r="A23" s="465" t="s">
        <v>569</v>
      </c>
      <c r="B23" s="465"/>
      <c r="C23" s="533" t="s">
        <v>423</v>
      </c>
      <c r="D23" s="533"/>
      <c r="E23" s="533"/>
      <c r="F23" s="531" t="s">
        <v>570</v>
      </c>
      <c r="G23" s="531"/>
      <c r="H23" s="399"/>
      <c r="I23" s="394"/>
    </row>
    <row r="24" spans="1:11" s="139" customFormat="1" ht="15.6">
      <c r="A24" s="138"/>
      <c r="C24" s="534"/>
      <c r="D24" s="534"/>
      <c r="F24" s="534"/>
      <c r="G24" s="534"/>
      <c r="H24" s="534"/>
    </row>
  </sheetData>
  <mergeCells count="12">
    <mergeCell ref="C24:D24"/>
    <mergeCell ref="F24:H24"/>
    <mergeCell ref="A2:H2"/>
    <mergeCell ref="A3:A4"/>
    <mergeCell ref="B3:B4"/>
    <mergeCell ref="C3:C4"/>
    <mergeCell ref="D3:E3"/>
    <mergeCell ref="F3:G3"/>
    <mergeCell ref="H3:H4"/>
    <mergeCell ref="A23:B23"/>
    <mergeCell ref="C23:E23"/>
    <mergeCell ref="F23:G23"/>
  </mergeCells>
  <phoneticPr fontId="3" type="noConversion"/>
  <printOptions horizontalCentered="1"/>
  <pageMargins left="0.59055118110236215" right="0.59055118110236215" top="0.98425196850393704" bottom="0.59055118110236215" header="0" footer="0"/>
  <pageSetup paperSize="9" scale="39" orientation="landscape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F52" zoomScale="60" zoomScaleNormal="60" zoomScaleSheetLayoutView="65" workbookViewId="0">
      <selection activeCell="L67" sqref="L67:M67"/>
    </sheetView>
  </sheetViews>
  <sheetFormatPr defaultColWidth="9.109375" defaultRowHeight="18"/>
  <cols>
    <col min="1" max="1" width="44.88671875" style="115" customWidth="1"/>
    <col min="2" max="2" width="19.33203125" style="20" customWidth="1"/>
    <col min="3" max="3" width="15.88671875" style="115" customWidth="1"/>
    <col min="4" max="4" width="16.109375" style="115" customWidth="1"/>
    <col min="5" max="5" width="15.44140625" style="115" customWidth="1"/>
    <col min="6" max="6" width="16.5546875" style="115" customWidth="1"/>
    <col min="7" max="7" width="15.33203125" style="115" customWidth="1"/>
    <col min="8" max="8" width="16.5546875" style="115" customWidth="1"/>
    <col min="9" max="9" width="16.109375" style="115" customWidth="1"/>
    <col min="10" max="10" width="16.44140625" style="115" customWidth="1"/>
    <col min="11" max="11" width="16.5546875" style="115" customWidth="1"/>
    <col min="12" max="12" width="16.88671875" style="115" customWidth="1"/>
    <col min="13" max="15" width="16.6640625" style="115" customWidth="1"/>
    <col min="16" max="16384" width="9.109375" style="115"/>
  </cols>
  <sheetData>
    <row r="1" spans="1:15" ht="20.399999999999999">
      <c r="O1" s="76" t="s">
        <v>347</v>
      </c>
    </row>
    <row r="2" spans="1:15" ht="24.75" customHeight="1">
      <c r="A2" s="467" t="s">
        <v>90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</row>
    <row r="3" spans="1:15" ht="37.5" customHeight="1">
      <c r="A3" s="532" t="s">
        <v>441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7"/>
      <c r="O3" s="467"/>
    </row>
    <row r="4" spans="1:15" ht="24.75" customHeight="1">
      <c r="A4" s="467" t="s">
        <v>684</v>
      </c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467"/>
      <c r="M4" s="467"/>
      <c r="N4" s="467"/>
      <c r="O4" s="467"/>
    </row>
    <row r="5" spans="1:15" ht="21">
      <c r="A5" s="531"/>
      <c r="B5" s="531"/>
      <c r="C5" s="531"/>
      <c r="D5" s="531"/>
      <c r="E5" s="531"/>
      <c r="F5" s="531"/>
      <c r="G5" s="531"/>
      <c r="H5" s="531"/>
      <c r="I5" s="531"/>
      <c r="J5" s="531"/>
      <c r="K5" s="531"/>
      <c r="L5" s="531"/>
      <c r="M5" s="531"/>
      <c r="N5" s="531"/>
      <c r="O5" s="531"/>
    </row>
    <row r="6" spans="1:15" ht="41.25" customHeight="1">
      <c r="A6" s="591" t="s">
        <v>220</v>
      </c>
      <c r="B6" s="591"/>
      <c r="C6" s="591"/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</row>
    <row r="7" spans="1:15" ht="41.25" customHeight="1">
      <c r="A7" s="607" t="s">
        <v>171</v>
      </c>
      <c r="B7" s="607"/>
      <c r="C7" s="607"/>
      <c r="D7" s="607"/>
      <c r="E7" s="607"/>
      <c r="F7" s="607"/>
      <c r="G7" s="607"/>
      <c r="H7" s="607"/>
      <c r="I7" s="607"/>
      <c r="J7" s="607"/>
      <c r="K7" s="607"/>
      <c r="L7" s="607"/>
      <c r="M7" s="607"/>
      <c r="N7" s="607"/>
      <c r="O7" s="607"/>
    </row>
    <row r="8" spans="1:15" ht="74.25" customHeight="1">
      <c r="A8" s="469" t="s">
        <v>153</v>
      </c>
      <c r="B8" s="469"/>
      <c r="C8" s="608" t="s">
        <v>442</v>
      </c>
      <c r="D8" s="608"/>
      <c r="E8" s="548"/>
      <c r="F8" s="547" t="s">
        <v>443</v>
      </c>
      <c r="G8" s="608"/>
      <c r="H8" s="548"/>
      <c r="I8" s="469" t="s">
        <v>444</v>
      </c>
      <c r="J8" s="469"/>
      <c r="K8" s="469"/>
      <c r="L8" s="469" t="s">
        <v>408</v>
      </c>
      <c r="M8" s="469"/>
      <c r="N8" s="547" t="s">
        <v>409</v>
      </c>
      <c r="O8" s="548"/>
    </row>
    <row r="9" spans="1:15" ht="27.75" customHeight="1">
      <c r="A9" s="469">
        <v>1</v>
      </c>
      <c r="B9" s="469"/>
      <c r="C9" s="608">
        <v>2</v>
      </c>
      <c r="D9" s="608"/>
      <c r="E9" s="548"/>
      <c r="F9" s="547">
        <v>3</v>
      </c>
      <c r="G9" s="608"/>
      <c r="H9" s="548"/>
      <c r="I9" s="469">
        <v>4</v>
      </c>
      <c r="J9" s="469"/>
      <c r="K9" s="469"/>
      <c r="L9" s="547">
        <v>5</v>
      </c>
      <c r="M9" s="548"/>
      <c r="N9" s="469">
        <v>6</v>
      </c>
      <c r="O9" s="469"/>
    </row>
    <row r="10" spans="1:15" ht="135.75" customHeight="1">
      <c r="A10" s="480" t="s">
        <v>384</v>
      </c>
      <c r="B10" s="480"/>
      <c r="C10" s="582">
        <f>SUM(C11:E13)</f>
        <v>1499</v>
      </c>
      <c r="D10" s="583"/>
      <c r="E10" s="584"/>
      <c r="F10" s="582">
        <f t="shared" ref="F10" si="0">SUM(F11:H13)</f>
        <v>1716</v>
      </c>
      <c r="G10" s="583"/>
      <c r="H10" s="584"/>
      <c r="I10" s="579">
        <f t="shared" ref="I10" si="1">SUM(I11:K13)</f>
        <v>1429</v>
      </c>
      <c r="J10" s="580"/>
      <c r="K10" s="581"/>
      <c r="L10" s="596">
        <f>I10-F10</f>
        <v>-287</v>
      </c>
      <c r="M10" s="596"/>
      <c r="N10" s="577">
        <f>IF(F10=0,0,I10/F10*100)</f>
        <v>83.275058275058285</v>
      </c>
      <c r="O10" s="578"/>
    </row>
    <row r="11" spans="1:15" ht="33" customHeight="1">
      <c r="A11" s="549" t="s">
        <v>157</v>
      </c>
      <c r="B11" s="549"/>
      <c r="C11" s="572">
        <v>1</v>
      </c>
      <c r="D11" s="573"/>
      <c r="E11" s="574"/>
      <c r="F11" s="572">
        <v>1</v>
      </c>
      <c r="G11" s="573"/>
      <c r="H11" s="574"/>
      <c r="I11" s="558">
        <v>1</v>
      </c>
      <c r="J11" s="571"/>
      <c r="K11" s="559"/>
      <c r="L11" s="570">
        <f t="shared" ref="L11:L25" si="2">I11-F11</f>
        <v>0</v>
      </c>
      <c r="M11" s="570"/>
      <c r="N11" s="575">
        <f t="shared" ref="N11:N25" si="3">IF(F11=0,0,I11/F11*100)</f>
        <v>100</v>
      </c>
      <c r="O11" s="576"/>
    </row>
    <row r="12" spans="1:15" ht="33" customHeight="1">
      <c r="A12" s="549" t="s">
        <v>156</v>
      </c>
      <c r="B12" s="549"/>
      <c r="C12" s="572">
        <v>252</v>
      </c>
      <c r="D12" s="573"/>
      <c r="E12" s="574"/>
      <c r="F12" s="572">
        <v>263</v>
      </c>
      <c r="G12" s="573"/>
      <c r="H12" s="574"/>
      <c r="I12" s="558">
        <v>231</v>
      </c>
      <c r="J12" s="571"/>
      <c r="K12" s="559"/>
      <c r="L12" s="570">
        <f t="shared" si="2"/>
        <v>-32</v>
      </c>
      <c r="M12" s="570"/>
      <c r="N12" s="575">
        <f t="shared" si="3"/>
        <v>87.832699619771859</v>
      </c>
      <c r="O12" s="576"/>
    </row>
    <row r="13" spans="1:15" ht="33" customHeight="1">
      <c r="A13" s="549" t="s">
        <v>158</v>
      </c>
      <c r="B13" s="549"/>
      <c r="C13" s="572">
        <v>1246</v>
      </c>
      <c r="D13" s="573"/>
      <c r="E13" s="574"/>
      <c r="F13" s="572">
        <v>1452</v>
      </c>
      <c r="G13" s="573"/>
      <c r="H13" s="574"/>
      <c r="I13" s="558">
        <v>1197</v>
      </c>
      <c r="J13" s="571"/>
      <c r="K13" s="559"/>
      <c r="L13" s="570">
        <f t="shared" si="2"/>
        <v>-255</v>
      </c>
      <c r="M13" s="570"/>
      <c r="N13" s="575">
        <f t="shared" si="3"/>
        <v>82.438016528925615</v>
      </c>
      <c r="O13" s="576"/>
    </row>
    <row r="14" spans="1:15" ht="44.25" customHeight="1">
      <c r="A14" s="480" t="s">
        <v>312</v>
      </c>
      <c r="B14" s="480"/>
      <c r="C14" s="582">
        <f>SUM(C15:E17)</f>
        <v>295276</v>
      </c>
      <c r="D14" s="583"/>
      <c r="E14" s="584"/>
      <c r="F14" s="582">
        <f t="shared" ref="F14" si="4">SUM(F15:H17)</f>
        <v>375193</v>
      </c>
      <c r="G14" s="583"/>
      <c r="H14" s="584"/>
      <c r="I14" s="579">
        <f t="shared" ref="I14" si="5">SUM(I15:K17)</f>
        <v>287216</v>
      </c>
      <c r="J14" s="580"/>
      <c r="K14" s="581"/>
      <c r="L14" s="596">
        <f t="shared" si="2"/>
        <v>-87977</v>
      </c>
      <c r="M14" s="596"/>
      <c r="N14" s="577">
        <f t="shared" si="3"/>
        <v>76.551534810084405</v>
      </c>
      <c r="O14" s="578"/>
    </row>
    <row r="15" spans="1:15" ht="33" customHeight="1">
      <c r="A15" s="549" t="s">
        <v>157</v>
      </c>
      <c r="B15" s="549"/>
      <c r="C15" s="572">
        <v>988</v>
      </c>
      <c r="D15" s="573"/>
      <c r="E15" s="574"/>
      <c r="F15" s="572">
        <v>1703</v>
      </c>
      <c r="G15" s="573"/>
      <c r="H15" s="574"/>
      <c r="I15" s="558">
        <v>1686</v>
      </c>
      <c r="J15" s="571"/>
      <c r="K15" s="559"/>
      <c r="L15" s="570">
        <f t="shared" si="2"/>
        <v>-17</v>
      </c>
      <c r="M15" s="570"/>
      <c r="N15" s="575">
        <f t="shared" si="3"/>
        <v>99.001761597181442</v>
      </c>
      <c r="O15" s="576"/>
    </row>
    <row r="16" spans="1:15" ht="33" customHeight="1">
      <c r="A16" s="549" t="s">
        <v>156</v>
      </c>
      <c r="B16" s="549"/>
      <c r="C16" s="572">
        <v>54744</v>
      </c>
      <c r="D16" s="573"/>
      <c r="E16" s="574"/>
      <c r="F16" s="572">
        <v>80843</v>
      </c>
      <c r="G16" s="573"/>
      <c r="H16" s="574"/>
      <c r="I16" s="558">
        <v>61780</v>
      </c>
      <c r="J16" s="571"/>
      <c r="K16" s="559"/>
      <c r="L16" s="570">
        <f t="shared" si="2"/>
        <v>-19063</v>
      </c>
      <c r="M16" s="570"/>
      <c r="N16" s="575">
        <f t="shared" si="3"/>
        <v>76.419727125415932</v>
      </c>
      <c r="O16" s="576"/>
    </row>
    <row r="17" spans="1:25" ht="33" customHeight="1">
      <c r="A17" s="549" t="s">
        <v>158</v>
      </c>
      <c r="B17" s="549"/>
      <c r="C17" s="572">
        <v>239544</v>
      </c>
      <c r="D17" s="573"/>
      <c r="E17" s="574"/>
      <c r="F17" s="572">
        <v>292647</v>
      </c>
      <c r="G17" s="573"/>
      <c r="H17" s="574"/>
      <c r="I17" s="558">
        <v>223750</v>
      </c>
      <c r="J17" s="571"/>
      <c r="K17" s="559"/>
      <c r="L17" s="570">
        <f t="shared" si="2"/>
        <v>-68897</v>
      </c>
      <c r="M17" s="570"/>
      <c r="N17" s="575">
        <f t="shared" si="3"/>
        <v>76.457301800462673</v>
      </c>
      <c r="O17" s="576"/>
    </row>
    <row r="18" spans="1:25" ht="47.25" customHeight="1">
      <c r="A18" s="480" t="s">
        <v>313</v>
      </c>
      <c r="B18" s="480"/>
      <c r="C18" s="582">
        <f>'I. Фін результат'!C91</f>
        <v>295481</v>
      </c>
      <c r="D18" s="583"/>
      <c r="E18" s="584"/>
      <c r="F18" s="582">
        <f>'I. Фін результат'!E91</f>
        <v>375192.5</v>
      </c>
      <c r="G18" s="583"/>
      <c r="H18" s="584"/>
      <c r="I18" s="593">
        <f>'I. Фін результат'!D91</f>
        <v>295325</v>
      </c>
      <c r="J18" s="594"/>
      <c r="K18" s="595"/>
      <c r="L18" s="596">
        <f t="shared" si="2"/>
        <v>-79867.5</v>
      </c>
      <c r="M18" s="596"/>
      <c r="N18" s="577">
        <f t="shared" si="3"/>
        <v>78.71292736395317</v>
      </c>
      <c r="O18" s="578"/>
      <c r="P18" s="369" t="s">
        <v>788</v>
      </c>
      <c r="Q18" s="369"/>
      <c r="R18" s="369"/>
      <c r="S18" s="369"/>
    </row>
    <row r="19" spans="1:25" ht="33" customHeight="1">
      <c r="A19" s="549" t="s">
        <v>157</v>
      </c>
      <c r="B19" s="549"/>
      <c r="C19" s="572">
        <v>988</v>
      </c>
      <c r="D19" s="573"/>
      <c r="E19" s="574"/>
      <c r="F19" s="572">
        <v>1703</v>
      </c>
      <c r="G19" s="573"/>
      <c r="H19" s="574"/>
      <c r="I19" s="558">
        <v>1686</v>
      </c>
      <c r="J19" s="571"/>
      <c r="K19" s="559"/>
      <c r="L19" s="570">
        <f t="shared" si="2"/>
        <v>-17</v>
      </c>
      <c r="M19" s="570"/>
      <c r="N19" s="575">
        <f t="shared" si="3"/>
        <v>99.001761597181442</v>
      </c>
      <c r="O19" s="576"/>
    </row>
    <row r="20" spans="1:25" ht="33" customHeight="1">
      <c r="A20" s="549" t="s">
        <v>156</v>
      </c>
      <c r="B20" s="549"/>
      <c r="C20" s="572">
        <v>54744</v>
      </c>
      <c r="D20" s="573"/>
      <c r="E20" s="574"/>
      <c r="F20" s="572">
        <v>80843</v>
      </c>
      <c r="G20" s="573"/>
      <c r="H20" s="574"/>
      <c r="I20" s="558">
        <v>63523</v>
      </c>
      <c r="J20" s="571"/>
      <c r="K20" s="559"/>
      <c r="L20" s="570">
        <f t="shared" si="2"/>
        <v>-17320</v>
      </c>
      <c r="M20" s="570"/>
      <c r="N20" s="575">
        <f t="shared" si="3"/>
        <v>78.575757950595602</v>
      </c>
      <c r="O20" s="576"/>
    </row>
    <row r="21" spans="1:25" ht="33" customHeight="1">
      <c r="A21" s="549" t="s">
        <v>158</v>
      </c>
      <c r="B21" s="549"/>
      <c r="C21" s="572">
        <v>239749</v>
      </c>
      <c r="D21" s="573"/>
      <c r="E21" s="574"/>
      <c r="F21" s="572">
        <v>292647</v>
      </c>
      <c r="G21" s="573"/>
      <c r="H21" s="574"/>
      <c r="I21" s="558">
        <v>230116</v>
      </c>
      <c r="J21" s="571"/>
      <c r="K21" s="559"/>
      <c r="L21" s="570">
        <f t="shared" si="2"/>
        <v>-62531</v>
      </c>
      <c r="M21" s="570"/>
      <c r="N21" s="575">
        <f t="shared" si="3"/>
        <v>78.632618820626902</v>
      </c>
      <c r="O21" s="576"/>
    </row>
    <row r="22" spans="1:25" ht="71.25" customHeight="1">
      <c r="A22" s="480" t="s">
        <v>385</v>
      </c>
      <c r="B22" s="480"/>
      <c r="C22" s="582">
        <f>IF(C10=0,0,ROUND(C18/C10/12*1000,0))</f>
        <v>16427</v>
      </c>
      <c r="D22" s="583"/>
      <c r="E22" s="584"/>
      <c r="F22" s="582">
        <f t="shared" ref="F22:I25" si="6">IF(F10=0,0,ROUND(F18/F10/12*1000,0))</f>
        <v>18220</v>
      </c>
      <c r="G22" s="583"/>
      <c r="H22" s="584"/>
      <c r="I22" s="579">
        <f t="shared" ref="I22" si="7">IF(I10=0,0,ROUND(I18/I10/12*1000,0))</f>
        <v>17222</v>
      </c>
      <c r="J22" s="580"/>
      <c r="K22" s="581"/>
      <c r="L22" s="596">
        <f t="shared" si="2"/>
        <v>-998</v>
      </c>
      <c r="M22" s="596"/>
      <c r="N22" s="577">
        <f t="shared" si="3"/>
        <v>94.522502744237102</v>
      </c>
      <c r="O22" s="578"/>
    </row>
    <row r="23" spans="1:25" ht="33" customHeight="1">
      <c r="A23" s="549" t="s">
        <v>157</v>
      </c>
      <c r="B23" s="549"/>
      <c r="C23" s="572">
        <f t="shared" ref="C23:C25" si="8">IF(C11=0,0,ROUND(C19/C11/12*1000,0))</f>
        <v>82333</v>
      </c>
      <c r="D23" s="573"/>
      <c r="E23" s="574"/>
      <c r="F23" s="572">
        <f t="shared" si="6"/>
        <v>141917</v>
      </c>
      <c r="G23" s="573"/>
      <c r="H23" s="574"/>
      <c r="I23" s="558">
        <f t="shared" si="6"/>
        <v>140500</v>
      </c>
      <c r="J23" s="571"/>
      <c r="K23" s="559"/>
      <c r="L23" s="570">
        <f t="shared" si="2"/>
        <v>-1417</v>
      </c>
      <c r="M23" s="570"/>
      <c r="N23" s="575">
        <f t="shared" si="3"/>
        <v>99.001529062762046</v>
      </c>
      <c r="O23" s="576"/>
    </row>
    <row r="24" spans="1:25" ht="33" customHeight="1">
      <c r="A24" s="549" t="s">
        <v>156</v>
      </c>
      <c r="B24" s="549"/>
      <c r="C24" s="572">
        <f t="shared" si="8"/>
        <v>18103</v>
      </c>
      <c r="D24" s="573"/>
      <c r="E24" s="574"/>
      <c r="F24" s="572">
        <f t="shared" si="6"/>
        <v>25616</v>
      </c>
      <c r="G24" s="573"/>
      <c r="H24" s="574"/>
      <c r="I24" s="558">
        <f t="shared" si="6"/>
        <v>22916</v>
      </c>
      <c r="J24" s="571"/>
      <c r="K24" s="559"/>
      <c r="L24" s="570">
        <f t="shared" si="2"/>
        <v>-2700</v>
      </c>
      <c r="M24" s="570"/>
      <c r="N24" s="575">
        <f t="shared" si="3"/>
        <v>89.459712679575262</v>
      </c>
      <c r="O24" s="576"/>
    </row>
    <row r="25" spans="1:25" ht="33" customHeight="1">
      <c r="A25" s="549" t="s">
        <v>158</v>
      </c>
      <c r="B25" s="549"/>
      <c r="C25" s="572">
        <f t="shared" si="8"/>
        <v>16035</v>
      </c>
      <c r="D25" s="573"/>
      <c r="E25" s="574"/>
      <c r="F25" s="572">
        <f t="shared" si="6"/>
        <v>16796</v>
      </c>
      <c r="G25" s="573"/>
      <c r="H25" s="574"/>
      <c r="I25" s="558">
        <f t="shared" si="6"/>
        <v>16020</v>
      </c>
      <c r="J25" s="571"/>
      <c r="K25" s="559"/>
      <c r="L25" s="570">
        <f t="shared" si="2"/>
        <v>-776</v>
      </c>
      <c r="M25" s="570"/>
      <c r="N25" s="575">
        <f t="shared" si="3"/>
        <v>95.379852345796621</v>
      </c>
      <c r="O25" s="576"/>
      <c r="W25" s="609"/>
      <c r="X25" s="609"/>
      <c r="Y25" s="609"/>
    </row>
    <row r="26" spans="1:25" ht="13.5" customHeight="1">
      <c r="A26" s="66"/>
      <c r="B26" s="66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117"/>
      <c r="O26" s="117"/>
      <c r="W26" s="610"/>
      <c r="X26" s="610"/>
      <c r="Y26" s="610"/>
    </row>
    <row r="27" spans="1:25" ht="21">
      <c r="A27" s="613"/>
      <c r="B27" s="613"/>
      <c r="C27" s="613"/>
      <c r="D27" s="613"/>
      <c r="E27" s="613"/>
      <c r="F27" s="613"/>
      <c r="G27" s="613"/>
      <c r="H27" s="613"/>
      <c r="I27" s="613"/>
      <c r="J27" s="613"/>
      <c r="K27" s="613"/>
      <c r="L27" s="613"/>
      <c r="M27" s="613"/>
      <c r="N27" s="613"/>
      <c r="O27" s="613"/>
      <c r="W27" s="610"/>
      <c r="X27" s="610"/>
      <c r="Y27" s="610"/>
    </row>
    <row r="28" spans="1:25" ht="11.25" customHeight="1">
      <c r="A28" s="68"/>
      <c r="B28" s="68"/>
      <c r="C28" s="68"/>
      <c r="D28" s="68"/>
      <c r="E28" s="68"/>
      <c r="F28" s="68"/>
      <c r="G28" s="68"/>
      <c r="H28" s="68"/>
      <c r="I28" s="68"/>
      <c r="J28" s="60"/>
      <c r="K28" s="60"/>
      <c r="L28" s="60"/>
      <c r="M28" s="60"/>
      <c r="N28" s="60"/>
      <c r="O28" s="60"/>
      <c r="W28" s="610"/>
      <c r="X28" s="610"/>
      <c r="Y28" s="610"/>
    </row>
    <row r="29" spans="1:25" ht="22.8">
      <c r="A29" s="591" t="s">
        <v>331</v>
      </c>
      <c r="B29" s="591"/>
      <c r="C29" s="591"/>
      <c r="D29" s="591"/>
      <c r="E29" s="591"/>
      <c r="F29" s="591"/>
      <c r="G29" s="591"/>
      <c r="H29" s="591"/>
      <c r="I29" s="591"/>
      <c r="J29" s="591"/>
    </row>
    <row r="30" spans="1:25">
      <c r="A30" s="19"/>
    </row>
    <row r="31" spans="1:25" ht="52.5" customHeight="1">
      <c r="A31" s="585" t="s">
        <v>386</v>
      </c>
      <c r="B31" s="586"/>
      <c r="C31" s="587"/>
      <c r="D31" s="592" t="s">
        <v>429</v>
      </c>
      <c r="E31" s="592"/>
      <c r="F31" s="592"/>
      <c r="G31" s="592" t="s">
        <v>430</v>
      </c>
      <c r="H31" s="592"/>
      <c r="I31" s="592"/>
      <c r="J31" s="592" t="s">
        <v>154</v>
      </c>
      <c r="K31" s="592"/>
      <c r="L31" s="592"/>
      <c r="M31" s="496" t="s">
        <v>155</v>
      </c>
      <c r="N31" s="562"/>
      <c r="O31" s="497"/>
    </row>
    <row r="32" spans="1:25" ht="155.25" customHeight="1">
      <c r="A32" s="588"/>
      <c r="B32" s="589"/>
      <c r="C32" s="590"/>
      <c r="D32" s="161" t="s">
        <v>314</v>
      </c>
      <c r="E32" s="161" t="s">
        <v>169</v>
      </c>
      <c r="F32" s="161" t="s">
        <v>315</v>
      </c>
      <c r="G32" s="161" t="s">
        <v>314</v>
      </c>
      <c r="H32" s="161" t="s">
        <v>169</v>
      </c>
      <c r="I32" s="161" t="s">
        <v>315</v>
      </c>
      <c r="J32" s="161" t="s">
        <v>314</v>
      </c>
      <c r="K32" s="161" t="s">
        <v>169</v>
      </c>
      <c r="L32" s="161" t="s">
        <v>315</v>
      </c>
      <c r="M32" s="21" t="s">
        <v>137</v>
      </c>
      <c r="N32" s="21" t="s">
        <v>138</v>
      </c>
      <c r="O32" s="21" t="s">
        <v>186</v>
      </c>
    </row>
    <row r="33" spans="1:18" ht="25.5" customHeight="1">
      <c r="A33" s="496">
        <v>1</v>
      </c>
      <c r="B33" s="562"/>
      <c r="C33" s="497"/>
      <c r="D33" s="161">
        <v>2</v>
      </c>
      <c r="E33" s="161">
        <v>3</v>
      </c>
      <c r="F33" s="161">
        <v>4</v>
      </c>
      <c r="G33" s="161">
        <v>5</v>
      </c>
      <c r="H33" s="102">
        <v>6</v>
      </c>
      <c r="I33" s="102">
        <v>7</v>
      </c>
      <c r="J33" s="102">
        <v>8</v>
      </c>
      <c r="K33" s="102">
        <v>9</v>
      </c>
      <c r="L33" s="102">
        <v>10</v>
      </c>
      <c r="M33" s="102">
        <v>11</v>
      </c>
      <c r="N33" s="102">
        <v>12</v>
      </c>
      <c r="O33" s="102">
        <v>13</v>
      </c>
    </row>
    <row r="34" spans="1:18" s="60" customFormat="1" ht="23.25" customHeight="1">
      <c r="A34" s="565" t="s">
        <v>702</v>
      </c>
      <c r="B34" s="566"/>
      <c r="C34" s="567"/>
      <c r="D34" s="416">
        <v>266000</v>
      </c>
      <c r="E34" s="395"/>
      <c r="F34" s="395"/>
      <c r="G34" s="417">
        <v>116219.1</v>
      </c>
      <c r="H34" s="418"/>
      <c r="I34" s="418"/>
      <c r="J34" s="395">
        <f>G34-D34</f>
        <v>-149780.9</v>
      </c>
      <c r="K34" s="62"/>
      <c r="L34" s="62"/>
      <c r="M34" s="154">
        <f>IF(D34=0,0,G34/D34*100)</f>
        <v>43.691390977443611</v>
      </c>
      <c r="N34" s="62"/>
      <c r="O34" s="62"/>
    </row>
    <row r="35" spans="1:18" s="60" customFormat="1" ht="23.25" customHeight="1">
      <c r="A35" s="565" t="s">
        <v>703</v>
      </c>
      <c r="B35" s="566"/>
      <c r="C35" s="567"/>
      <c r="D35" s="416">
        <v>5400</v>
      </c>
      <c r="E35" s="395"/>
      <c r="F35" s="395"/>
      <c r="G35" s="417">
        <v>274.89999999999998</v>
      </c>
      <c r="H35" s="418"/>
      <c r="I35" s="418"/>
      <c r="J35" s="395">
        <f t="shared" ref="J35:J39" si="9">G35-D35</f>
        <v>-5125.1000000000004</v>
      </c>
      <c r="K35" s="62"/>
      <c r="L35" s="62"/>
      <c r="M35" s="154">
        <f t="shared" ref="M35:M39" si="10">IF(D35=0,0,G35/D35*100)</f>
        <v>5.0907407407407401</v>
      </c>
      <c r="N35" s="62"/>
      <c r="O35" s="62"/>
    </row>
    <row r="36" spans="1:18" s="60" customFormat="1" ht="23.25" customHeight="1">
      <c r="A36" s="565" t="s">
        <v>704</v>
      </c>
      <c r="B36" s="566"/>
      <c r="C36" s="567"/>
      <c r="D36" s="416">
        <v>160</v>
      </c>
      <c r="E36" s="395"/>
      <c r="F36" s="395"/>
      <c r="G36" s="417">
        <v>194.3</v>
      </c>
      <c r="H36" s="418"/>
      <c r="I36" s="418"/>
      <c r="J36" s="395">
        <f t="shared" si="9"/>
        <v>34.300000000000011</v>
      </c>
      <c r="K36" s="62"/>
      <c r="L36" s="62"/>
      <c r="M36" s="154">
        <f t="shared" si="10"/>
        <v>121.4375</v>
      </c>
      <c r="N36" s="62"/>
      <c r="O36" s="62"/>
    </row>
    <row r="37" spans="1:18" s="60" customFormat="1" ht="23.25" customHeight="1">
      <c r="A37" s="565" t="s">
        <v>705</v>
      </c>
      <c r="B37" s="566"/>
      <c r="C37" s="567"/>
      <c r="D37" s="416">
        <v>1250</v>
      </c>
      <c r="E37" s="395"/>
      <c r="F37" s="395"/>
      <c r="G37" s="417">
        <v>977.7</v>
      </c>
      <c r="H37" s="418"/>
      <c r="I37" s="418"/>
      <c r="J37" s="395">
        <f t="shared" si="9"/>
        <v>-272.29999999999995</v>
      </c>
      <c r="K37" s="62"/>
      <c r="L37" s="62"/>
      <c r="M37" s="154">
        <f t="shared" si="10"/>
        <v>78.216000000000008</v>
      </c>
      <c r="N37" s="62"/>
      <c r="O37" s="62"/>
    </row>
    <row r="38" spans="1:18" s="60" customFormat="1" ht="23.25" customHeight="1">
      <c r="A38" s="565" t="s">
        <v>706</v>
      </c>
      <c r="B38" s="566"/>
      <c r="C38" s="567"/>
      <c r="D38" s="416"/>
      <c r="E38" s="395"/>
      <c r="F38" s="395"/>
      <c r="G38" s="417"/>
      <c r="H38" s="418"/>
      <c r="I38" s="418"/>
      <c r="J38" s="395">
        <f t="shared" si="9"/>
        <v>0</v>
      </c>
      <c r="K38" s="62"/>
      <c r="L38" s="62"/>
      <c r="M38" s="154">
        <f t="shared" si="10"/>
        <v>0</v>
      </c>
      <c r="N38" s="62"/>
      <c r="O38" s="62"/>
    </row>
    <row r="39" spans="1:18" s="60" customFormat="1" ht="23.25" customHeight="1">
      <c r="A39" s="565" t="s">
        <v>707</v>
      </c>
      <c r="B39" s="566"/>
      <c r="C39" s="567"/>
      <c r="D39" s="416">
        <v>600</v>
      </c>
      <c r="E39" s="395"/>
      <c r="F39" s="395"/>
      <c r="G39" s="417"/>
      <c r="H39" s="418"/>
      <c r="I39" s="418"/>
      <c r="J39" s="395">
        <f t="shared" si="9"/>
        <v>-600</v>
      </c>
      <c r="K39" s="62"/>
      <c r="L39" s="62"/>
      <c r="M39" s="154">
        <f t="shared" si="10"/>
        <v>0</v>
      </c>
      <c r="N39" s="62"/>
      <c r="O39" s="62"/>
    </row>
    <row r="40" spans="1:18" s="60" customFormat="1" ht="33" customHeight="1">
      <c r="A40" s="602" t="s">
        <v>50</v>
      </c>
      <c r="B40" s="603"/>
      <c r="C40" s="604"/>
      <c r="D40" s="327">
        <f>SUM(D34:D39)</f>
        <v>273410</v>
      </c>
      <c r="E40" s="396"/>
      <c r="F40" s="396"/>
      <c r="G40" s="368">
        <f>SUM(G34:G39)</f>
        <v>117666</v>
      </c>
      <c r="H40" s="396"/>
      <c r="I40" s="396"/>
      <c r="J40" s="396">
        <f>SUM(J34:J39)</f>
        <v>-155744</v>
      </c>
      <c r="K40" s="273"/>
      <c r="L40" s="70"/>
      <c r="M40" s="155">
        <f>IF(D40=0,0,G40/D40*100)</f>
        <v>43.036465381661245</v>
      </c>
      <c r="N40" s="273"/>
      <c r="O40" s="70"/>
    </row>
    <row r="41" spans="1:18" ht="35.25" customHeight="1">
      <c r="A41" s="22"/>
      <c r="B41" s="23"/>
      <c r="C41" s="23"/>
      <c r="D41" s="23"/>
      <c r="E41" s="23"/>
      <c r="F41" s="118"/>
      <c r="G41" s="118"/>
      <c r="H41" s="118"/>
      <c r="I41" s="24"/>
      <c r="J41" s="24"/>
      <c r="K41" s="24"/>
      <c r="L41" s="24"/>
      <c r="M41" s="24"/>
      <c r="N41" s="24"/>
      <c r="O41" s="25"/>
    </row>
    <row r="42" spans="1:18" ht="22.8">
      <c r="A42" s="591" t="s">
        <v>332</v>
      </c>
      <c r="B42" s="591"/>
      <c r="C42" s="591"/>
      <c r="D42" s="591"/>
      <c r="E42" s="591"/>
      <c r="F42" s="591"/>
      <c r="G42" s="591"/>
      <c r="H42" s="591"/>
      <c r="I42" s="591"/>
      <c r="J42" s="591"/>
      <c r="K42" s="591"/>
      <c r="L42" s="591"/>
      <c r="M42" s="591"/>
      <c r="N42" s="591"/>
      <c r="O42" s="591"/>
    </row>
    <row r="43" spans="1:18">
      <c r="A43" s="19"/>
      <c r="O43" s="22" t="s">
        <v>435</v>
      </c>
    </row>
    <row r="44" spans="1:18" ht="56.25" customHeight="1">
      <c r="A44" s="257" t="s">
        <v>92</v>
      </c>
      <c r="B44" s="469" t="s">
        <v>63</v>
      </c>
      <c r="C44" s="469"/>
      <c r="D44" s="469" t="s">
        <v>58</v>
      </c>
      <c r="E44" s="469"/>
      <c r="F44" s="469" t="s">
        <v>59</v>
      </c>
      <c r="G44" s="469"/>
      <c r="H44" s="469" t="s">
        <v>73</v>
      </c>
      <c r="I44" s="469"/>
      <c r="J44" s="469"/>
      <c r="K44" s="547" t="s">
        <v>448</v>
      </c>
      <c r="L44" s="548"/>
      <c r="M44" s="547" t="s">
        <v>30</v>
      </c>
      <c r="N44" s="608"/>
      <c r="O44" s="548"/>
    </row>
    <row r="45" spans="1:18" ht="24.75" customHeight="1">
      <c r="A45" s="62">
        <v>1</v>
      </c>
      <c r="B45" s="468">
        <v>2</v>
      </c>
      <c r="C45" s="468"/>
      <c r="D45" s="468">
        <v>3</v>
      </c>
      <c r="E45" s="468"/>
      <c r="F45" s="468">
        <v>4</v>
      </c>
      <c r="G45" s="468"/>
      <c r="H45" s="468">
        <v>5</v>
      </c>
      <c r="I45" s="468"/>
      <c r="J45" s="468"/>
      <c r="K45" s="468">
        <v>6</v>
      </c>
      <c r="L45" s="468"/>
      <c r="M45" s="550">
        <v>7</v>
      </c>
      <c r="N45" s="600"/>
      <c r="O45" s="551"/>
    </row>
    <row r="46" spans="1:18" ht="36">
      <c r="A46" s="42" t="s">
        <v>515</v>
      </c>
      <c r="B46" s="541" t="s">
        <v>710</v>
      </c>
      <c r="C46" s="543"/>
      <c r="D46" s="552">
        <v>9027.2000000000007</v>
      </c>
      <c r="E46" s="553"/>
      <c r="F46" s="554" t="s">
        <v>712</v>
      </c>
      <c r="G46" s="555"/>
      <c r="H46" s="496" t="s">
        <v>715</v>
      </c>
      <c r="I46" s="562"/>
      <c r="J46" s="497"/>
      <c r="K46" s="563">
        <v>2069</v>
      </c>
      <c r="L46" s="564"/>
      <c r="M46" s="541" t="s">
        <v>722</v>
      </c>
      <c r="N46" s="542"/>
      <c r="O46" s="543"/>
      <c r="P46" s="369" t="s">
        <v>785</v>
      </c>
      <c r="Q46" s="369"/>
      <c r="R46" s="369"/>
    </row>
    <row r="47" spans="1:18" ht="36">
      <c r="A47" s="42" t="s">
        <v>515</v>
      </c>
      <c r="B47" s="541" t="s">
        <v>710</v>
      </c>
      <c r="C47" s="543"/>
      <c r="D47" s="552">
        <v>994.3</v>
      </c>
      <c r="E47" s="569"/>
      <c r="F47" s="554" t="s">
        <v>712</v>
      </c>
      <c r="G47" s="555"/>
      <c r="H47" s="496" t="s">
        <v>716</v>
      </c>
      <c r="I47" s="556"/>
      <c r="J47" s="557"/>
      <c r="K47" s="563">
        <v>263</v>
      </c>
      <c r="L47" s="564"/>
      <c r="M47" s="541" t="s">
        <v>722</v>
      </c>
      <c r="N47" s="542"/>
      <c r="O47" s="543"/>
    </row>
    <row r="48" spans="1:18" ht="36">
      <c r="A48" s="42" t="s">
        <v>515</v>
      </c>
      <c r="B48" s="541" t="s">
        <v>710</v>
      </c>
      <c r="C48" s="543"/>
      <c r="D48" s="552">
        <v>414.4</v>
      </c>
      <c r="E48" s="553"/>
      <c r="F48" s="554" t="s">
        <v>712</v>
      </c>
      <c r="G48" s="555"/>
      <c r="H48" s="496" t="s">
        <v>717</v>
      </c>
      <c r="I48" s="562"/>
      <c r="J48" s="497"/>
      <c r="K48" s="558"/>
      <c r="L48" s="559"/>
      <c r="M48" s="541" t="s">
        <v>722</v>
      </c>
      <c r="N48" s="542"/>
      <c r="O48" s="543"/>
    </row>
    <row r="49" spans="1:19" ht="36">
      <c r="A49" s="42" t="s">
        <v>515</v>
      </c>
      <c r="B49" s="541" t="s">
        <v>710</v>
      </c>
      <c r="C49" s="543"/>
      <c r="D49" s="552">
        <v>282</v>
      </c>
      <c r="E49" s="553"/>
      <c r="F49" s="554" t="s">
        <v>712</v>
      </c>
      <c r="G49" s="555"/>
      <c r="H49" s="496" t="s">
        <v>718</v>
      </c>
      <c r="I49" s="562"/>
      <c r="J49" s="497"/>
      <c r="K49" s="558"/>
      <c r="L49" s="559"/>
      <c r="M49" s="541" t="s">
        <v>722</v>
      </c>
      <c r="N49" s="542"/>
      <c r="O49" s="543"/>
    </row>
    <row r="50" spans="1:19" ht="21">
      <c r="A50" s="42" t="s">
        <v>708</v>
      </c>
      <c r="B50" s="541" t="s">
        <v>710</v>
      </c>
      <c r="C50" s="543"/>
      <c r="D50" s="552">
        <v>89753.1</v>
      </c>
      <c r="E50" s="553"/>
      <c r="F50" s="554" t="s">
        <v>712</v>
      </c>
      <c r="G50" s="555"/>
      <c r="H50" s="496" t="s">
        <v>719</v>
      </c>
      <c r="I50" s="556"/>
      <c r="J50" s="557"/>
      <c r="K50" s="558"/>
      <c r="L50" s="559"/>
      <c r="M50" s="541" t="s">
        <v>722</v>
      </c>
      <c r="N50" s="542"/>
      <c r="O50" s="543"/>
    </row>
    <row r="51" spans="1:19" ht="36">
      <c r="A51" s="42" t="s">
        <v>709</v>
      </c>
      <c r="B51" s="541" t="s">
        <v>711</v>
      </c>
      <c r="C51" s="543"/>
      <c r="D51" s="560">
        <v>3000</v>
      </c>
      <c r="E51" s="561"/>
      <c r="F51" s="554" t="s">
        <v>713</v>
      </c>
      <c r="G51" s="555"/>
      <c r="H51" s="496" t="s">
        <v>720</v>
      </c>
      <c r="I51" s="562"/>
      <c r="J51" s="497"/>
      <c r="K51" s="558"/>
      <c r="L51" s="559"/>
      <c r="M51" s="541" t="s">
        <v>723</v>
      </c>
      <c r="N51" s="542"/>
      <c r="O51" s="543"/>
    </row>
    <row r="52" spans="1:19" ht="38.4" customHeight="1">
      <c r="A52" s="42" t="s">
        <v>708</v>
      </c>
      <c r="B52" s="541" t="s">
        <v>711</v>
      </c>
      <c r="C52" s="543"/>
      <c r="D52" s="552">
        <v>35000</v>
      </c>
      <c r="E52" s="553"/>
      <c r="F52" s="554" t="s">
        <v>714</v>
      </c>
      <c r="G52" s="555"/>
      <c r="H52" s="496" t="s">
        <v>721</v>
      </c>
      <c r="I52" s="562"/>
      <c r="J52" s="497"/>
      <c r="K52" s="563">
        <v>1153</v>
      </c>
      <c r="L52" s="564"/>
      <c r="M52" s="541" t="s">
        <v>724</v>
      </c>
      <c r="N52" s="542"/>
      <c r="O52" s="543"/>
      <c r="P52" s="369" t="s">
        <v>784</v>
      </c>
      <c r="Q52" s="369"/>
      <c r="R52" s="369"/>
      <c r="S52" s="369">
        <v>1153</v>
      </c>
    </row>
    <row r="53" spans="1:19" ht="30" customHeight="1">
      <c r="A53" s="71" t="s">
        <v>50</v>
      </c>
      <c r="B53" s="568" t="s">
        <v>31</v>
      </c>
      <c r="C53" s="568"/>
      <c r="D53" s="568" t="s">
        <v>31</v>
      </c>
      <c r="E53" s="568"/>
      <c r="F53" s="568" t="s">
        <v>31</v>
      </c>
      <c r="G53" s="568"/>
      <c r="H53" s="599"/>
      <c r="I53" s="599"/>
      <c r="J53" s="599"/>
      <c r="K53" s="579">
        <f>SUM(K46:L52)</f>
        <v>3485</v>
      </c>
      <c r="L53" s="581"/>
      <c r="M53" s="601"/>
      <c r="N53" s="601"/>
      <c r="O53" s="601"/>
    </row>
    <row r="54" spans="1:19">
      <c r="A54" s="118"/>
      <c r="B54" s="180"/>
      <c r="C54" s="180"/>
      <c r="D54" s="180"/>
      <c r="E54" s="180"/>
      <c r="F54" s="180" t="s">
        <v>361</v>
      </c>
      <c r="G54" s="180"/>
      <c r="H54" s="180"/>
      <c r="I54" s="180"/>
      <c r="J54" s="180"/>
    </row>
    <row r="55" spans="1:19" ht="22.8">
      <c r="A55" s="591" t="s">
        <v>338</v>
      </c>
      <c r="B55" s="591"/>
      <c r="C55" s="591"/>
      <c r="D55" s="591"/>
      <c r="E55" s="591"/>
      <c r="F55" s="591"/>
      <c r="G55" s="591"/>
      <c r="H55" s="591"/>
      <c r="I55" s="591"/>
      <c r="J55" s="591"/>
      <c r="K55" s="591"/>
      <c r="L55" s="591"/>
      <c r="M55" s="591"/>
      <c r="N55" s="591"/>
      <c r="O55" s="591"/>
    </row>
    <row r="56" spans="1:19" ht="20.25" customHeight="1">
      <c r="A56" s="24"/>
      <c r="B56" s="26"/>
      <c r="C56" s="24"/>
      <c r="D56" s="24"/>
      <c r="E56" s="24"/>
      <c r="F56" s="24"/>
      <c r="G56" s="24"/>
      <c r="H56" s="24"/>
      <c r="I56" s="25"/>
      <c r="O56" s="22"/>
    </row>
    <row r="57" spans="1:19" ht="42.75" customHeight="1">
      <c r="A57" s="469" t="s">
        <v>57</v>
      </c>
      <c r="B57" s="469"/>
      <c r="C57" s="469"/>
      <c r="D57" s="469" t="s">
        <v>445</v>
      </c>
      <c r="E57" s="469"/>
      <c r="F57" s="469" t="s">
        <v>446</v>
      </c>
      <c r="G57" s="469"/>
      <c r="H57" s="469"/>
      <c r="I57" s="469"/>
      <c r="J57" s="469" t="s">
        <v>447</v>
      </c>
      <c r="K57" s="469"/>
      <c r="L57" s="469"/>
      <c r="M57" s="469"/>
      <c r="N57" s="469" t="s">
        <v>448</v>
      </c>
      <c r="O57" s="469"/>
    </row>
    <row r="58" spans="1:19" ht="42.75" customHeight="1">
      <c r="A58" s="469"/>
      <c r="B58" s="469"/>
      <c r="C58" s="469"/>
      <c r="D58" s="469"/>
      <c r="E58" s="469"/>
      <c r="F58" s="468" t="s">
        <v>139</v>
      </c>
      <c r="G58" s="468"/>
      <c r="H58" s="469" t="s">
        <v>140</v>
      </c>
      <c r="I58" s="469"/>
      <c r="J58" s="468" t="s">
        <v>139</v>
      </c>
      <c r="K58" s="468"/>
      <c r="L58" s="469" t="s">
        <v>140</v>
      </c>
      <c r="M58" s="469"/>
      <c r="N58" s="469"/>
      <c r="O58" s="469"/>
    </row>
    <row r="59" spans="1:19" ht="27" customHeight="1">
      <c r="A59" s="469">
        <v>1</v>
      </c>
      <c r="B59" s="469"/>
      <c r="C59" s="469"/>
      <c r="D59" s="547">
        <v>2</v>
      </c>
      <c r="E59" s="548"/>
      <c r="F59" s="547">
        <v>3</v>
      </c>
      <c r="G59" s="548"/>
      <c r="H59" s="550">
        <v>4</v>
      </c>
      <c r="I59" s="551"/>
      <c r="J59" s="550">
        <v>5</v>
      </c>
      <c r="K59" s="551"/>
      <c r="L59" s="550">
        <v>6</v>
      </c>
      <c r="M59" s="551"/>
      <c r="N59" s="550">
        <v>7</v>
      </c>
      <c r="O59" s="551"/>
    </row>
    <row r="60" spans="1:19" ht="30.75" customHeight="1">
      <c r="A60" s="549" t="s">
        <v>166</v>
      </c>
      <c r="B60" s="549"/>
      <c r="C60" s="549"/>
      <c r="D60" s="545">
        <f>SUM(D62:E63)</f>
        <v>76382.73000000001</v>
      </c>
      <c r="E60" s="546"/>
      <c r="F60" s="539">
        <f t="shared" ref="F60" si="11">SUM(F62:G63)</f>
        <v>0</v>
      </c>
      <c r="G60" s="540"/>
      <c r="H60" s="539">
        <f t="shared" ref="H60" si="12">SUM(H62:I63)</f>
        <v>0</v>
      </c>
      <c r="I60" s="540"/>
      <c r="J60" s="539">
        <f t="shared" ref="J60" si="13">SUM(J62:K63)</f>
        <v>76382.73000000001</v>
      </c>
      <c r="K60" s="540"/>
      <c r="L60" s="539">
        <f t="shared" ref="L60" si="14">SUM(L62:M63)</f>
        <v>76382.7</v>
      </c>
      <c r="M60" s="540"/>
      <c r="N60" s="539">
        <f t="shared" ref="N60" si="15">SUM(N62:O63)</f>
        <v>3.0000000006111804E-2</v>
      </c>
      <c r="O60" s="540"/>
    </row>
    <row r="61" spans="1:19" ht="27.75" customHeight="1">
      <c r="A61" s="549" t="s">
        <v>78</v>
      </c>
      <c r="B61" s="549"/>
      <c r="C61" s="549"/>
      <c r="D61" s="545"/>
      <c r="E61" s="546"/>
      <c r="F61" s="539"/>
      <c r="G61" s="540"/>
      <c r="H61" s="539"/>
      <c r="I61" s="540"/>
      <c r="J61" s="539"/>
      <c r="K61" s="540"/>
      <c r="L61" s="539"/>
      <c r="M61" s="540"/>
      <c r="N61" s="539"/>
      <c r="O61" s="540"/>
    </row>
    <row r="62" spans="1:19" ht="23.25" customHeight="1">
      <c r="A62" s="544" t="s">
        <v>725</v>
      </c>
      <c r="B62" s="544"/>
      <c r="C62" s="544"/>
      <c r="D62" s="545">
        <v>42632.73</v>
      </c>
      <c r="E62" s="546"/>
      <c r="F62" s="539"/>
      <c r="G62" s="540"/>
      <c r="H62" s="539"/>
      <c r="I62" s="540"/>
      <c r="J62" s="539">
        <v>42632.73</v>
      </c>
      <c r="K62" s="540"/>
      <c r="L62" s="539">
        <v>42632.7</v>
      </c>
      <c r="M62" s="540"/>
      <c r="N62" s="539">
        <f>D62+H62-L62</f>
        <v>3.0000000006111804E-2</v>
      </c>
      <c r="O62" s="540"/>
    </row>
    <row r="63" spans="1:19" ht="23.25" customHeight="1">
      <c r="A63" s="565" t="s">
        <v>726</v>
      </c>
      <c r="B63" s="566"/>
      <c r="C63" s="567"/>
      <c r="D63" s="545">
        <v>33750</v>
      </c>
      <c r="E63" s="546"/>
      <c r="F63" s="539"/>
      <c r="G63" s="540"/>
      <c r="H63" s="539"/>
      <c r="I63" s="540"/>
      <c r="J63" s="539">
        <v>33750</v>
      </c>
      <c r="K63" s="540"/>
      <c r="L63" s="539">
        <v>33750</v>
      </c>
      <c r="M63" s="540"/>
      <c r="N63" s="539">
        <f>D63+H63-L63</f>
        <v>0</v>
      </c>
      <c r="O63" s="540"/>
    </row>
    <row r="64" spans="1:19" ht="30.75" customHeight="1">
      <c r="A64" s="549" t="s">
        <v>167</v>
      </c>
      <c r="B64" s="549"/>
      <c r="C64" s="549"/>
      <c r="D64" s="545">
        <f>SUM(D66:E66)</f>
        <v>3000</v>
      </c>
      <c r="E64" s="546"/>
      <c r="F64" s="539">
        <f>SUM(F66:G66)</f>
        <v>0</v>
      </c>
      <c r="G64" s="540"/>
      <c r="H64" s="539">
        <f>SUM(H66:I67)</f>
        <v>1383.4</v>
      </c>
      <c r="I64" s="540"/>
      <c r="J64" s="539">
        <f>SUM(J66:K66)</f>
        <v>3000</v>
      </c>
      <c r="K64" s="540"/>
      <c r="L64" s="539">
        <f>SUM(L66:M67)</f>
        <v>3230.6</v>
      </c>
      <c r="M64" s="540"/>
      <c r="N64" s="605">
        <f>SUM(N66:O67)</f>
        <v>1152.8000000000002</v>
      </c>
      <c r="O64" s="606"/>
    </row>
    <row r="65" spans="1:15" ht="27.75" customHeight="1">
      <c r="A65" s="549" t="s">
        <v>387</v>
      </c>
      <c r="B65" s="549"/>
      <c r="C65" s="549"/>
      <c r="D65" s="545"/>
      <c r="E65" s="546"/>
      <c r="F65" s="539"/>
      <c r="G65" s="540"/>
      <c r="H65" s="539"/>
      <c r="I65" s="540"/>
      <c r="J65" s="539"/>
      <c r="K65" s="540"/>
      <c r="L65" s="539"/>
      <c r="M65" s="540"/>
      <c r="N65" s="539"/>
      <c r="O65" s="540"/>
    </row>
    <row r="66" spans="1:15" ht="23.25" customHeight="1">
      <c r="A66" s="549" t="s">
        <v>711</v>
      </c>
      <c r="B66" s="549"/>
      <c r="C66" s="549"/>
      <c r="D66" s="545">
        <v>3000</v>
      </c>
      <c r="E66" s="546"/>
      <c r="F66" s="539"/>
      <c r="G66" s="540"/>
      <c r="H66" s="539"/>
      <c r="I66" s="540"/>
      <c r="J66" s="539">
        <v>3000</v>
      </c>
      <c r="K66" s="540"/>
      <c r="L66" s="539">
        <v>3000</v>
      </c>
      <c r="M66" s="540"/>
      <c r="N66" s="539">
        <f>D66+H66-L66</f>
        <v>0</v>
      </c>
      <c r="O66" s="540"/>
    </row>
    <row r="67" spans="1:15" ht="23.25" customHeight="1">
      <c r="A67" s="549" t="s">
        <v>711</v>
      </c>
      <c r="B67" s="549"/>
      <c r="C67" s="549"/>
      <c r="D67" s="419"/>
      <c r="E67" s="420"/>
      <c r="F67" s="397"/>
      <c r="G67" s="398"/>
      <c r="H67" s="539">
        <v>1383.4</v>
      </c>
      <c r="I67" s="540"/>
      <c r="J67" s="397"/>
      <c r="K67" s="398"/>
      <c r="L67" s="539">
        <v>230.6</v>
      </c>
      <c r="M67" s="540"/>
      <c r="N67" s="539">
        <f>D67+H67-L67</f>
        <v>1152.8000000000002</v>
      </c>
      <c r="O67" s="540"/>
    </row>
    <row r="68" spans="1:15" ht="30.75" customHeight="1">
      <c r="A68" s="549" t="s">
        <v>168</v>
      </c>
      <c r="B68" s="549"/>
      <c r="C68" s="549"/>
      <c r="D68" s="545">
        <f>SUM(D70:E71)</f>
        <v>4473.49</v>
      </c>
      <c r="E68" s="546"/>
      <c r="F68" s="539">
        <f t="shared" ref="F68" si="16">SUM(F70:G71)</f>
        <v>0</v>
      </c>
      <c r="G68" s="540"/>
      <c r="H68" s="539">
        <f t="shared" ref="H68" si="17">SUM(H70:I71)</f>
        <v>0</v>
      </c>
      <c r="I68" s="540"/>
      <c r="J68" s="539">
        <f t="shared" ref="J68" si="18">SUM(J70:K71)</f>
        <v>2141.14</v>
      </c>
      <c r="K68" s="540"/>
      <c r="L68" s="539">
        <f>SUM(L70:M71)</f>
        <v>2141.1</v>
      </c>
      <c r="M68" s="540"/>
      <c r="N68" s="539">
        <f>SUM(N70:O71)</f>
        <v>2332.39</v>
      </c>
      <c r="O68" s="540"/>
    </row>
    <row r="69" spans="1:15" ht="27.75" customHeight="1">
      <c r="A69" s="549" t="s">
        <v>78</v>
      </c>
      <c r="B69" s="549"/>
      <c r="C69" s="549"/>
      <c r="D69" s="545"/>
      <c r="E69" s="546"/>
      <c r="F69" s="539"/>
      <c r="G69" s="540"/>
      <c r="H69" s="539"/>
      <c r="I69" s="540"/>
      <c r="J69" s="539"/>
      <c r="K69" s="540"/>
      <c r="L69" s="539"/>
      <c r="M69" s="540"/>
      <c r="N69" s="539"/>
      <c r="O69" s="540"/>
    </row>
    <row r="70" spans="1:15" ht="23.25" customHeight="1">
      <c r="A70" s="544" t="s">
        <v>727</v>
      </c>
      <c r="B70" s="544"/>
      <c r="C70" s="544"/>
      <c r="D70" s="545">
        <v>4000.45</v>
      </c>
      <c r="E70" s="546"/>
      <c r="F70" s="539"/>
      <c r="G70" s="540"/>
      <c r="H70" s="539"/>
      <c r="I70" s="540"/>
      <c r="J70" s="539">
        <v>1931.54</v>
      </c>
      <c r="K70" s="540"/>
      <c r="L70" s="539">
        <v>1931.5</v>
      </c>
      <c r="M70" s="540"/>
      <c r="N70" s="539">
        <f>D70+H70-L70</f>
        <v>2068.9499999999998</v>
      </c>
      <c r="O70" s="540"/>
    </row>
    <row r="71" spans="1:15" ht="23.25" customHeight="1">
      <c r="A71" s="565" t="s">
        <v>728</v>
      </c>
      <c r="B71" s="566"/>
      <c r="C71" s="567"/>
      <c r="D71" s="545">
        <v>473.04</v>
      </c>
      <c r="E71" s="546"/>
      <c r="F71" s="539"/>
      <c r="G71" s="540"/>
      <c r="H71" s="539"/>
      <c r="I71" s="540"/>
      <c r="J71" s="539">
        <v>209.6</v>
      </c>
      <c r="K71" s="540"/>
      <c r="L71" s="539">
        <v>209.6</v>
      </c>
      <c r="M71" s="540"/>
      <c r="N71" s="539">
        <f>D71+H71-L71</f>
        <v>263.44000000000005</v>
      </c>
      <c r="O71" s="540"/>
    </row>
    <row r="72" spans="1:15" ht="51" customHeight="1">
      <c r="A72" s="480" t="s">
        <v>50</v>
      </c>
      <c r="B72" s="480"/>
      <c r="C72" s="480"/>
      <c r="D72" s="597">
        <f>SUM(D60,D64,D68)</f>
        <v>83856.220000000016</v>
      </c>
      <c r="E72" s="598"/>
      <c r="F72" s="597">
        <f>SUM(F60,F64,F68)</f>
        <v>0</v>
      </c>
      <c r="G72" s="598"/>
      <c r="H72" s="597">
        <f>SUM(H60,H64,H68)</f>
        <v>1383.4</v>
      </c>
      <c r="I72" s="598"/>
      <c r="J72" s="597">
        <f>SUM(J60,J64,J68)</f>
        <v>81523.87000000001</v>
      </c>
      <c r="K72" s="598"/>
      <c r="L72" s="597">
        <f>SUM(L60,L64,L68)</f>
        <v>81754.400000000009</v>
      </c>
      <c r="M72" s="598"/>
      <c r="N72" s="597">
        <f>SUM(N60,N64,N68)</f>
        <v>3485.2200000000062</v>
      </c>
      <c r="O72" s="598"/>
    </row>
    <row r="73" spans="1:15">
      <c r="C73" s="27"/>
      <c r="D73" s="27"/>
      <c r="E73" s="27"/>
    </row>
    <row r="74" spans="1:15">
      <c r="C74" s="27"/>
      <c r="D74" s="27"/>
      <c r="E74" s="27"/>
    </row>
    <row r="75" spans="1:15">
      <c r="A75" s="180"/>
      <c r="C75" s="27"/>
      <c r="D75" s="27"/>
      <c r="E75" s="27"/>
    </row>
    <row r="76" spans="1:15">
      <c r="A76" s="22"/>
      <c r="C76" s="27"/>
      <c r="D76" s="27"/>
      <c r="E76" s="27"/>
      <c r="F76" s="22"/>
      <c r="G76" s="22"/>
      <c r="L76" s="611"/>
      <c r="M76" s="612"/>
      <c r="N76" s="612"/>
      <c r="O76" s="612"/>
    </row>
    <row r="77" spans="1:15">
      <c r="C77" s="27"/>
      <c r="D77" s="27"/>
      <c r="E77" s="27"/>
    </row>
    <row r="78" spans="1:15">
      <c r="C78" s="27"/>
      <c r="D78" s="27"/>
      <c r="E78" s="27"/>
    </row>
    <row r="79" spans="1:15">
      <c r="C79" s="27"/>
      <c r="D79" s="27"/>
      <c r="E79" s="27"/>
    </row>
    <row r="80" spans="1:15">
      <c r="C80" s="27"/>
      <c r="D80" s="27"/>
      <c r="E80" s="27"/>
    </row>
    <row r="81" spans="3:5">
      <c r="C81" s="27"/>
      <c r="D81" s="27"/>
      <c r="E81" s="27"/>
    </row>
    <row r="82" spans="3:5">
      <c r="C82" s="27"/>
      <c r="D82" s="27"/>
      <c r="E82" s="27"/>
    </row>
    <row r="83" spans="3:5">
      <c r="C83" s="27"/>
      <c r="D83" s="27"/>
      <c r="E83" s="27"/>
    </row>
    <row r="84" spans="3:5">
      <c r="C84" s="27"/>
      <c r="D84" s="27"/>
      <c r="E84" s="27"/>
    </row>
    <row r="85" spans="3:5">
      <c r="C85" s="27"/>
      <c r="D85" s="27"/>
      <c r="E85" s="27"/>
    </row>
    <row r="86" spans="3:5">
      <c r="C86" s="27"/>
      <c r="D86" s="27"/>
      <c r="E86" s="27"/>
    </row>
  </sheetData>
  <mergeCells count="300">
    <mergeCell ref="H47:J47"/>
    <mergeCell ref="H48:J48"/>
    <mergeCell ref="H49:J49"/>
    <mergeCell ref="K47:L47"/>
    <mergeCell ref="K48:L48"/>
    <mergeCell ref="K49:L49"/>
    <mergeCell ref="M47:O47"/>
    <mergeCell ref="M48:O48"/>
    <mergeCell ref="M49:O49"/>
    <mergeCell ref="W25:Y25"/>
    <mergeCell ref="W26:Y26"/>
    <mergeCell ref="W27:Y27"/>
    <mergeCell ref="W28:Y28"/>
    <mergeCell ref="L76:O76"/>
    <mergeCell ref="C15:E15"/>
    <mergeCell ref="C16:E16"/>
    <mergeCell ref="C17:E17"/>
    <mergeCell ref="A24:B24"/>
    <mergeCell ref="N15:O15"/>
    <mergeCell ref="N16:O16"/>
    <mergeCell ref="A27:O27"/>
    <mergeCell ref="F16:H16"/>
    <mergeCell ref="M46:O46"/>
    <mergeCell ref="K46:L46"/>
    <mergeCell ref="K45:L45"/>
    <mergeCell ref="B46:C46"/>
    <mergeCell ref="H46:J46"/>
    <mergeCell ref="K44:L44"/>
    <mergeCell ref="M44:O44"/>
    <mergeCell ref="B44:C44"/>
    <mergeCell ref="H59:I59"/>
    <mergeCell ref="K53:L53"/>
    <mergeCell ref="J59:K59"/>
    <mergeCell ref="A9:B9"/>
    <mergeCell ref="A10:B10"/>
    <mergeCell ref="A11:B11"/>
    <mergeCell ref="A12:B12"/>
    <mergeCell ref="A13:B13"/>
    <mergeCell ref="C12:E12"/>
    <mergeCell ref="C13:E13"/>
    <mergeCell ref="C14:E14"/>
    <mergeCell ref="A25:B25"/>
    <mergeCell ref="A17:B17"/>
    <mergeCell ref="A18:B18"/>
    <mergeCell ref="A19:B19"/>
    <mergeCell ref="A20:B20"/>
    <mergeCell ref="A22:B22"/>
    <mergeCell ref="A23:B23"/>
    <mergeCell ref="A21:B21"/>
    <mergeCell ref="A14:B14"/>
    <mergeCell ref="A15:B15"/>
    <mergeCell ref="A16:B16"/>
    <mergeCell ref="C24:E24"/>
    <mergeCell ref="L15:M15"/>
    <mergeCell ref="F14:H14"/>
    <mergeCell ref="L16:M16"/>
    <mergeCell ref="I16:K16"/>
    <mergeCell ref="F15:H15"/>
    <mergeCell ref="I15:K15"/>
    <mergeCell ref="F12:H12"/>
    <mergeCell ref="F13:H13"/>
    <mergeCell ref="I14:K14"/>
    <mergeCell ref="I10:K10"/>
    <mergeCell ref="C8:E8"/>
    <mergeCell ref="C9:E9"/>
    <mergeCell ref="C10:E10"/>
    <mergeCell ref="N13:O13"/>
    <mergeCell ref="L11:M11"/>
    <mergeCell ref="N14:O14"/>
    <mergeCell ref="L13:M13"/>
    <mergeCell ref="N11:O11"/>
    <mergeCell ref="I12:K12"/>
    <mergeCell ref="I13:K13"/>
    <mergeCell ref="L12:M12"/>
    <mergeCell ref="F9:H9"/>
    <mergeCell ref="F10:H10"/>
    <mergeCell ref="F11:H11"/>
    <mergeCell ref="L10:M10"/>
    <mergeCell ref="C11:E11"/>
    <mergeCell ref="L14:M14"/>
    <mergeCell ref="A2:O2"/>
    <mergeCell ref="A3:O3"/>
    <mergeCell ref="I11:K11"/>
    <mergeCell ref="F46:G46"/>
    <mergeCell ref="D44:E44"/>
    <mergeCell ref="J31:L31"/>
    <mergeCell ref="M31:O31"/>
    <mergeCell ref="A42:O42"/>
    <mergeCell ref="F44:G44"/>
    <mergeCell ref="H44:J44"/>
    <mergeCell ref="A4:O4"/>
    <mergeCell ref="A5:O5"/>
    <mergeCell ref="A6:O6"/>
    <mergeCell ref="A7:O7"/>
    <mergeCell ref="L8:M8"/>
    <mergeCell ref="N8:O8"/>
    <mergeCell ref="F8:H8"/>
    <mergeCell ref="I8:K8"/>
    <mergeCell ref="N9:O9"/>
    <mergeCell ref="N10:O10"/>
    <mergeCell ref="L9:M9"/>
    <mergeCell ref="A8:B8"/>
    <mergeCell ref="N12:O12"/>
    <mergeCell ref="I9:K9"/>
    <mergeCell ref="A66:C66"/>
    <mergeCell ref="A72:C72"/>
    <mergeCell ref="D63:E63"/>
    <mergeCell ref="A69:C69"/>
    <mergeCell ref="A68:C68"/>
    <mergeCell ref="A71:C71"/>
    <mergeCell ref="A64:C64"/>
    <mergeCell ref="D68:E68"/>
    <mergeCell ref="F68:G68"/>
    <mergeCell ref="A70:C70"/>
    <mergeCell ref="D70:E70"/>
    <mergeCell ref="F70:G70"/>
    <mergeCell ref="F66:G66"/>
    <mergeCell ref="A67:C67"/>
    <mergeCell ref="N69:O69"/>
    <mergeCell ref="L69:M69"/>
    <mergeCell ref="H69:I69"/>
    <mergeCell ref="L64:M64"/>
    <mergeCell ref="H65:I65"/>
    <mergeCell ref="J69:K69"/>
    <mergeCell ref="D66:E66"/>
    <mergeCell ref="N66:O66"/>
    <mergeCell ref="A61:C61"/>
    <mergeCell ref="L63:M63"/>
    <mergeCell ref="J63:K63"/>
    <mergeCell ref="D69:E69"/>
    <mergeCell ref="F69:G69"/>
    <mergeCell ref="A63:C63"/>
    <mergeCell ref="D65:E65"/>
    <mergeCell ref="A65:C65"/>
    <mergeCell ref="F65:G65"/>
    <mergeCell ref="D64:E64"/>
    <mergeCell ref="F64:G64"/>
    <mergeCell ref="D61:E61"/>
    <mergeCell ref="F61:G61"/>
    <mergeCell ref="H64:I64"/>
    <mergeCell ref="J64:K64"/>
    <mergeCell ref="H61:I61"/>
    <mergeCell ref="H66:I66"/>
    <mergeCell ref="J66:K66"/>
    <mergeCell ref="L66:M66"/>
    <mergeCell ref="N61:O61"/>
    <mergeCell ref="N64:O64"/>
    <mergeCell ref="L61:M61"/>
    <mergeCell ref="N63:O63"/>
    <mergeCell ref="L62:M62"/>
    <mergeCell ref="N62:O62"/>
    <mergeCell ref="N65:O65"/>
    <mergeCell ref="J61:K61"/>
    <mergeCell ref="L65:M65"/>
    <mergeCell ref="J65:K65"/>
    <mergeCell ref="J62:K62"/>
    <mergeCell ref="N24:O24"/>
    <mergeCell ref="N72:O72"/>
    <mergeCell ref="D71:E71"/>
    <mergeCell ref="F71:G71"/>
    <mergeCell ref="H71:I71"/>
    <mergeCell ref="J71:K71"/>
    <mergeCell ref="L71:M71"/>
    <mergeCell ref="N71:O71"/>
    <mergeCell ref="D72:E72"/>
    <mergeCell ref="H72:I72"/>
    <mergeCell ref="J72:K72"/>
    <mergeCell ref="L72:M72"/>
    <mergeCell ref="F72:G72"/>
    <mergeCell ref="H45:J45"/>
    <mergeCell ref="H53:J53"/>
    <mergeCell ref="F60:G60"/>
    <mergeCell ref="H58:I58"/>
    <mergeCell ref="H63:I63"/>
    <mergeCell ref="F63:G63"/>
    <mergeCell ref="J57:M57"/>
    <mergeCell ref="M45:O45"/>
    <mergeCell ref="M53:O53"/>
    <mergeCell ref="A55:O55"/>
    <mergeCell ref="A40:C40"/>
    <mergeCell ref="N17:O17"/>
    <mergeCell ref="N18:O18"/>
    <mergeCell ref="N19:O19"/>
    <mergeCell ref="N20:O20"/>
    <mergeCell ref="L17:M17"/>
    <mergeCell ref="A29:J29"/>
    <mergeCell ref="D31:F31"/>
    <mergeCell ref="F20:H20"/>
    <mergeCell ref="I17:K17"/>
    <mergeCell ref="I18:K18"/>
    <mergeCell ref="I19:K19"/>
    <mergeCell ref="I20:K20"/>
    <mergeCell ref="F17:H17"/>
    <mergeCell ref="F18:H18"/>
    <mergeCell ref="F19:H19"/>
    <mergeCell ref="G31:I31"/>
    <mergeCell ref="C18:E18"/>
    <mergeCell ref="N25:O25"/>
    <mergeCell ref="L22:M22"/>
    <mergeCell ref="F25:H25"/>
    <mergeCell ref="F21:H21"/>
    <mergeCell ref="F22:H22"/>
    <mergeCell ref="F23:H23"/>
    <mergeCell ref="L18:M18"/>
    <mergeCell ref="L19:M19"/>
    <mergeCell ref="L20:M20"/>
    <mergeCell ref="L25:M25"/>
    <mergeCell ref="I25:K25"/>
    <mergeCell ref="C25:E25"/>
    <mergeCell ref="A34:C34"/>
    <mergeCell ref="A35:C35"/>
    <mergeCell ref="N21:O21"/>
    <mergeCell ref="N22:O22"/>
    <mergeCell ref="N23:O23"/>
    <mergeCell ref="I21:K21"/>
    <mergeCell ref="I22:K22"/>
    <mergeCell ref="L21:M21"/>
    <mergeCell ref="I24:K24"/>
    <mergeCell ref="I23:K23"/>
    <mergeCell ref="C19:E19"/>
    <mergeCell ref="C20:E20"/>
    <mergeCell ref="C21:E21"/>
    <mergeCell ref="C22:E22"/>
    <mergeCell ref="L23:M23"/>
    <mergeCell ref="L24:M24"/>
    <mergeCell ref="F24:H24"/>
    <mergeCell ref="C23:E23"/>
    <mergeCell ref="A31:C32"/>
    <mergeCell ref="K52:L52"/>
    <mergeCell ref="A33:C33"/>
    <mergeCell ref="D46:E46"/>
    <mergeCell ref="D45:E45"/>
    <mergeCell ref="B45:C45"/>
    <mergeCell ref="A38:C38"/>
    <mergeCell ref="B53:C53"/>
    <mergeCell ref="D53:E53"/>
    <mergeCell ref="F53:G53"/>
    <mergeCell ref="B52:C52"/>
    <mergeCell ref="D52:E52"/>
    <mergeCell ref="F45:G45"/>
    <mergeCell ref="A39:C39"/>
    <mergeCell ref="A37:C37"/>
    <mergeCell ref="A36:C36"/>
    <mergeCell ref="B47:C47"/>
    <mergeCell ref="B48:C48"/>
    <mergeCell ref="B49:C49"/>
    <mergeCell ref="D47:E47"/>
    <mergeCell ref="D48:E48"/>
    <mergeCell ref="D49:E49"/>
    <mergeCell ref="F47:G47"/>
    <mergeCell ref="F48:G48"/>
    <mergeCell ref="F49:G49"/>
    <mergeCell ref="H60:I60"/>
    <mergeCell ref="H70:I70"/>
    <mergeCell ref="J70:K70"/>
    <mergeCell ref="L70:M70"/>
    <mergeCell ref="N70:O70"/>
    <mergeCell ref="B50:C50"/>
    <mergeCell ref="D50:E50"/>
    <mergeCell ref="F50:G50"/>
    <mergeCell ref="H50:J50"/>
    <mergeCell ref="K50:L50"/>
    <mergeCell ref="M50:O50"/>
    <mergeCell ref="B51:C51"/>
    <mergeCell ref="D51:E51"/>
    <mergeCell ref="F51:G51"/>
    <mergeCell ref="H51:J51"/>
    <mergeCell ref="K51:L51"/>
    <mergeCell ref="M51:O51"/>
    <mergeCell ref="F52:G52"/>
    <mergeCell ref="F58:G58"/>
    <mergeCell ref="H52:J52"/>
    <mergeCell ref="H68:I68"/>
    <mergeCell ref="J68:K68"/>
    <mergeCell ref="L68:M68"/>
    <mergeCell ref="N68:O68"/>
    <mergeCell ref="L67:M67"/>
    <mergeCell ref="H67:I67"/>
    <mergeCell ref="N67:O67"/>
    <mergeCell ref="M52:O52"/>
    <mergeCell ref="A62:C62"/>
    <mergeCell ref="D62:E62"/>
    <mergeCell ref="F62:G62"/>
    <mergeCell ref="H62:I62"/>
    <mergeCell ref="D57:E58"/>
    <mergeCell ref="A57:C58"/>
    <mergeCell ref="J58:K58"/>
    <mergeCell ref="L58:M58"/>
    <mergeCell ref="N57:O58"/>
    <mergeCell ref="F57:I57"/>
    <mergeCell ref="D59:E59"/>
    <mergeCell ref="D60:E60"/>
    <mergeCell ref="A60:C60"/>
    <mergeCell ref="A59:C59"/>
    <mergeCell ref="L59:M59"/>
    <mergeCell ref="N59:O59"/>
    <mergeCell ref="F59:G59"/>
    <mergeCell ref="L60:M60"/>
    <mergeCell ref="N60:O60"/>
    <mergeCell ref="J60:K60"/>
  </mergeCells>
  <phoneticPr fontId="3" type="noConversion"/>
  <printOptions horizontalCentered="1"/>
  <pageMargins left="0.59055118110236227" right="0.59055118110236227" top="0.98425196850393704" bottom="0.59055118110236227" header="0" footer="0"/>
  <pageSetup paperSize="9" scale="49" fitToHeight="4" orientation="landscape" blackAndWhite="1" horizontalDpi="1200" verticalDpi="1200" r:id="rId1"/>
  <headerFooter alignWithMargins="0"/>
  <rowBreaks count="1" manualBreakCount="1">
    <brk id="54" max="14" man="1"/>
  </rowBreaks>
  <ignoredErrors>
    <ignoredError sqref="O10" evalError="1"/>
    <ignoredError sqref="E40:F40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H89"/>
  <sheetViews>
    <sheetView view="pageBreakPreview" topLeftCell="R1" zoomScale="60" zoomScaleNormal="48" workbookViewId="0">
      <selection activeCell="X11" sqref="X11:Z11"/>
    </sheetView>
  </sheetViews>
  <sheetFormatPr defaultColWidth="9.109375" defaultRowHeight="18"/>
  <cols>
    <col min="1" max="2" width="4.44140625" style="115" customWidth="1"/>
    <col min="3" max="3" width="34.88671875" style="115" customWidth="1"/>
    <col min="4" max="6" width="8.44140625" style="115" customWidth="1"/>
    <col min="7" max="9" width="11.33203125" style="115" customWidth="1"/>
    <col min="10" max="10" width="8.6640625" style="115" customWidth="1"/>
    <col min="11" max="11" width="10.109375" style="115" customWidth="1"/>
    <col min="12" max="12" width="9" style="115" customWidth="1"/>
    <col min="13" max="13" width="12.33203125" style="115" customWidth="1"/>
    <col min="14" max="14" width="12.5546875" style="115" customWidth="1"/>
    <col min="15" max="15" width="14.5546875" style="115" customWidth="1"/>
    <col min="16" max="16" width="14" style="115" customWidth="1"/>
    <col min="17" max="17" width="17.44140625" style="115" customWidth="1"/>
    <col min="18" max="18" width="14.88671875" style="115" customWidth="1"/>
    <col min="19" max="19" width="17.6640625" style="115" customWidth="1"/>
    <col min="20" max="20" width="14" style="115" customWidth="1"/>
    <col min="21" max="21" width="15.33203125" style="115" customWidth="1"/>
    <col min="22" max="22" width="13.33203125" style="115" customWidth="1"/>
    <col min="23" max="23" width="14.88671875" style="115" customWidth="1"/>
    <col min="24" max="24" width="14" style="115" customWidth="1"/>
    <col min="25" max="25" width="12.5546875" style="115" customWidth="1"/>
    <col min="26" max="26" width="12.33203125" style="115" customWidth="1"/>
    <col min="27" max="27" width="14.5546875" style="115" customWidth="1"/>
    <col min="28" max="28" width="14.44140625" style="115" customWidth="1"/>
    <col min="29" max="29" width="16.109375" style="115" customWidth="1"/>
    <col min="30" max="30" width="14.5546875" style="115" customWidth="1"/>
    <col min="31" max="31" width="17" style="115" customWidth="1"/>
    <col min="32" max="32" width="14" style="115" customWidth="1"/>
    <col min="33" max="33" width="24" style="370" hidden="1" customWidth="1"/>
    <col min="34" max="34" width="20.6640625" style="370" hidden="1" customWidth="1"/>
    <col min="35" max="16384" width="9.109375" style="115"/>
  </cols>
  <sheetData>
    <row r="1" spans="1:34" ht="18.75" customHeight="1"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484" t="s">
        <v>348</v>
      </c>
      <c r="AE1" s="484"/>
      <c r="AF1" s="484"/>
    </row>
    <row r="2" spans="1:34" ht="18.75" customHeight="1">
      <c r="C2" s="73" t="s">
        <v>339</v>
      </c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</row>
    <row r="3" spans="1:34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2" t="s">
        <v>435</v>
      </c>
    </row>
    <row r="4" spans="1:34" ht="45.75" customHeight="1">
      <c r="A4" s="637" t="s">
        <v>47</v>
      </c>
      <c r="B4" s="617" t="s">
        <v>118</v>
      </c>
      <c r="C4" s="619"/>
      <c r="D4" s="585" t="s">
        <v>119</v>
      </c>
      <c r="E4" s="586"/>
      <c r="F4" s="586"/>
      <c r="G4" s="585" t="s">
        <v>183</v>
      </c>
      <c r="H4" s="586"/>
      <c r="I4" s="586"/>
      <c r="J4" s="586"/>
      <c r="K4" s="586"/>
      <c r="L4" s="586"/>
      <c r="M4" s="586"/>
      <c r="N4" s="586"/>
      <c r="O4" s="586"/>
      <c r="P4" s="586"/>
      <c r="Q4" s="587"/>
      <c r="R4" s="550" t="s">
        <v>120</v>
      </c>
      <c r="S4" s="600"/>
      <c r="T4" s="600"/>
      <c r="U4" s="600"/>
      <c r="V4" s="600"/>
      <c r="W4" s="600"/>
      <c r="X4" s="600"/>
      <c r="Y4" s="600"/>
      <c r="Z4" s="551"/>
      <c r="AA4" s="469" t="s">
        <v>316</v>
      </c>
      <c r="AB4" s="468"/>
      <c r="AC4" s="468"/>
      <c r="AD4" s="469" t="s">
        <v>317</v>
      </c>
      <c r="AE4" s="468"/>
      <c r="AF4" s="468"/>
    </row>
    <row r="5" spans="1:34" ht="77.25" customHeight="1">
      <c r="A5" s="639"/>
      <c r="B5" s="623"/>
      <c r="C5" s="625"/>
      <c r="D5" s="588"/>
      <c r="E5" s="589"/>
      <c r="F5" s="589"/>
      <c r="G5" s="588"/>
      <c r="H5" s="589"/>
      <c r="I5" s="589"/>
      <c r="J5" s="589"/>
      <c r="K5" s="589"/>
      <c r="L5" s="589"/>
      <c r="M5" s="589"/>
      <c r="N5" s="589"/>
      <c r="O5" s="589"/>
      <c r="P5" s="589"/>
      <c r="Q5" s="590"/>
      <c r="R5" s="547" t="s">
        <v>452</v>
      </c>
      <c r="S5" s="608"/>
      <c r="T5" s="548"/>
      <c r="U5" s="547" t="s">
        <v>453</v>
      </c>
      <c r="V5" s="608"/>
      <c r="W5" s="548"/>
      <c r="X5" s="547" t="s">
        <v>454</v>
      </c>
      <c r="Y5" s="608"/>
      <c r="Z5" s="548"/>
      <c r="AA5" s="468"/>
      <c r="AB5" s="468"/>
      <c r="AC5" s="468"/>
      <c r="AD5" s="468"/>
      <c r="AE5" s="468"/>
      <c r="AF5" s="468"/>
    </row>
    <row r="6" spans="1:34" ht="28.5" customHeight="1">
      <c r="A6" s="74">
        <v>1</v>
      </c>
      <c r="B6" s="669">
        <v>2</v>
      </c>
      <c r="C6" s="670"/>
      <c r="D6" s="547">
        <v>3</v>
      </c>
      <c r="E6" s="608"/>
      <c r="F6" s="608"/>
      <c r="G6" s="547">
        <v>4</v>
      </c>
      <c r="H6" s="608"/>
      <c r="I6" s="608"/>
      <c r="J6" s="608"/>
      <c r="K6" s="608"/>
      <c r="L6" s="608"/>
      <c r="M6" s="608"/>
      <c r="N6" s="608"/>
      <c r="O6" s="608"/>
      <c r="P6" s="608"/>
      <c r="Q6" s="548"/>
      <c r="R6" s="547">
        <v>5</v>
      </c>
      <c r="S6" s="608"/>
      <c r="T6" s="548"/>
      <c r="U6" s="547">
        <v>6</v>
      </c>
      <c r="V6" s="608"/>
      <c r="W6" s="548"/>
      <c r="X6" s="550">
        <v>7</v>
      </c>
      <c r="Y6" s="600"/>
      <c r="Z6" s="551"/>
      <c r="AA6" s="550">
        <v>8</v>
      </c>
      <c r="AB6" s="600"/>
      <c r="AC6" s="551"/>
      <c r="AD6" s="550">
        <v>9</v>
      </c>
      <c r="AE6" s="600"/>
      <c r="AF6" s="551"/>
    </row>
    <row r="7" spans="1:34" ht="28.5" customHeight="1">
      <c r="A7" s="74"/>
      <c r="B7" s="664" t="s">
        <v>693</v>
      </c>
      <c r="C7" s="665"/>
      <c r="D7" s="666">
        <v>39903</v>
      </c>
      <c r="E7" s="667"/>
      <c r="F7" s="668"/>
      <c r="G7" s="547" t="s">
        <v>698</v>
      </c>
      <c r="H7" s="608"/>
      <c r="I7" s="608"/>
      <c r="J7" s="608"/>
      <c r="K7" s="608"/>
      <c r="L7" s="608"/>
      <c r="M7" s="608"/>
      <c r="N7" s="608"/>
      <c r="O7" s="608"/>
      <c r="P7" s="608"/>
      <c r="Q7" s="548"/>
      <c r="R7" s="651">
        <v>156</v>
      </c>
      <c r="S7" s="652"/>
      <c r="T7" s="653"/>
      <c r="U7" s="572">
        <v>327</v>
      </c>
      <c r="V7" s="573"/>
      <c r="W7" s="574"/>
      <c r="X7" s="705">
        <v>217</v>
      </c>
      <c r="Y7" s="706"/>
      <c r="Z7" s="707"/>
      <c r="AA7" s="282"/>
      <c r="AB7" s="283"/>
      <c r="AC7" s="284"/>
      <c r="AD7" s="274"/>
      <c r="AE7" s="275"/>
      <c r="AF7" s="276"/>
    </row>
    <row r="8" spans="1:34" ht="28.5" customHeight="1">
      <c r="A8" s="74"/>
      <c r="B8" s="664" t="s">
        <v>694</v>
      </c>
      <c r="C8" s="665"/>
      <c r="D8" s="666">
        <v>34090</v>
      </c>
      <c r="E8" s="667"/>
      <c r="F8" s="668"/>
      <c r="G8" s="547" t="s">
        <v>698</v>
      </c>
      <c r="H8" s="608"/>
      <c r="I8" s="608"/>
      <c r="J8" s="608"/>
      <c r="K8" s="608"/>
      <c r="L8" s="608"/>
      <c r="M8" s="608"/>
      <c r="N8" s="608"/>
      <c r="O8" s="608"/>
      <c r="P8" s="608"/>
      <c r="Q8" s="548"/>
      <c r="R8" s="651">
        <v>181.5</v>
      </c>
      <c r="S8" s="652"/>
      <c r="T8" s="653"/>
      <c r="U8" s="572">
        <v>383</v>
      </c>
      <c r="V8" s="573"/>
      <c r="W8" s="574"/>
      <c r="X8" s="705"/>
      <c r="Y8" s="706"/>
      <c r="Z8" s="707"/>
      <c r="AA8" s="282"/>
      <c r="AB8" s="283"/>
      <c r="AC8" s="284"/>
      <c r="AD8" s="274"/>
      <c r="AE8" s="275"/>
      <c r="AF8" s="276"/>
    </row>
    <row r="9" spans="1:34" ht="28.5" customHeight="1">
      <c r="A9" s="74"/>
      <c r="B9" s="664" t="s">
        <v>695</v>
      </c>
      <c r="C9" s="665"/>
      <c r="D9" s="666">
        <v>41578</v>
      </c>
      <c r="E9" s="667"/>
      <c r="F9" s="668"/>
      <c r="G9" s="547" t="s">
        <v>698</v>
      </c>
      <c r="H9" s="608"/>
      <c r="I9" s="608"/>
      <c r="J9" s="608"/>
      <c r="K9" s="608"/>
      <c r="L9" s="608"/>
      <c r="M9" s="608"/>
      <c r="N9" s="608"/>
      <c r="O9" s="608"/>
      <c r="P9" s="608"/>
      <c r="Q9" s="548"/>
      <c r="R9" s="651">
        <v>192</v>
      </c>
      <c r="S9" s="652"/>
      <c r="T9" s="653"/>
      <c r="U9" s="572">
        <v>334</v>
      </c>
      <c r="V9" s="573"/>
      <c r="W9" s="574"/>
      <c r="X9" s="705">
        <v>367.2</v>
      </c>
      <c r="Y9" s="706"/>
      <c r="Z9" s="707"/>
      <c r="AA9" s="282"/>
      <c r="AB9" s="283"/>
      <c r="AC9" s="284"/>
      <c r="AD9" s="274"/>
      <c r="AE9" s="275"/>
      <c r="AF9" s="276"/>
    </row>
    <row r="10" spans="1:34" ht="34.5" customHeight="1">
      <c r="A10" s="74"/>
      <c r="B10" s="664" t="s">
        <v>696</v>
      </c>
      <c r="C10" s="665"/>
      <c r="D10" s="666">
        <v>42881</v>
      </c>
      <c r="E10" s="667"/>
      <c r="F10" s="668"/>
      <c r="G10" s="547" t="s">
        <v>698</v>
      </c>
      <c r="H10" s="608"/>
      <c r="I10" s="608"/>
      <c r="J10" s="608"/>
      <c r="K10" s="608"/>
      <c r="L10" s="608"/>
      <c r="M10" s="608"/>
      <c r="N10" s="608"/>
      <c r="O10" s="608"/>
      <c r="P10" s="608"/>
      <c r="Q10" s="548"/>
      <c r="R10" s="651">
        <v>139</v>
      </c>
      <c r="S10" s="652"/>
      <c r="T10" s="653"/>
      <c r="U10" s="572">
        <v>386</v>
      </c>
      <c r="V10" s="573"/>
      <c r="W10" s="574"/>
      <c r="X10" s="563">
        <v>111.7</v>
      </c>
      <c r="Y10" s="671"/>
      <c r="Z10" s="564"/>
      <c r="AA10" s="558">
        <f>X10-U10</f>
        <v>-274.3</v>
      </c>
      <c r="AB10" s="571"/>
      <c r="AC10" s="559"/>
      <c r="AD10" s="640">
        <f>IF(U10=0,0,X10/U10*100)</f>
        <v>28.937823834196891</v>
      </c>
      <c r="AE10" s="641"/>
      <c r="AF10" s="642"/>
    </row>
    <row r="11" spans="1:34" ht="34.5" customHeight="1">
      <c r="A11" s="74"/>
      <c r="B11" s="664" t="s">
        <v>697</v>
      </c>
      <c r="C11" s="665"/>
      <c r="D11" s="666">
        <v>43404</v>
      </c>
      <c r="E11" s="667"/>
      <c r="F11" s="668"/>
      <c r="G11" s="547" t="s">
        <v>698</v>
      </c>
      <c r="H11" s="608"/>
      <c r="I11" s="608"/>
      <c r="J11" s="608"/>
      <c r="K11" s="608"/>
      <c r="L11" s="608"/>
      <c r="M11" s="608"/>
      <c r="N11" s="608"/>
      <c r="O11" s="608"/>
      <c r="P11" s="608"/>
      <c r="Q11" s="548"/>
      <c r="R11" s="651">
        <v>147.4</v>
      </c>
      <c r="S11" s="652"/>
      <c r="T11" s="653"/>
      <c r="U11" s="572">
        <v>270</v>
      </c>
      <c r="V11" s="573"/>
      <c r="W11" s="574"/>
      <c r="X11" s="563">
        <v>210.5</v>
      </c>
      <c r="Y11" s="671"/>
      <c r="Z11" s="564"/>
      <c r="AA11" s="558">
        <f t="shared" ref="AA11:AA12" si="0">X11-U11</f>
        <v>-59.5</v>
      </c>
      <c r="AB11" s="571"/>
      <c r="AC11" s="559"/>
      <c r="AD11" s="640">
        <f t="shared" ref="AD11:AD12" si="1">IF(U11=0,0,X11/U11*100)</f>
        <v>77.962962962962962</v>
      </c>
      <c r="AE11" s="641"/>
      <c r="AF11" s="642"/>
    </row>
    <row r="12" spans="1:34" ht="37.5" customHeight="1">
      <c r="A12" s="661" t="s">
        <v>50</v>
      </c>
      <c r="B12" s="662"/>
      <c r="C12" s="662"/>
      <c r="D12" s="662"/>
      <c r="E12" s="662"/>
      <c r="F12" s="662"/>
      <c r="G12" s="662"/>
      <c r="H12" s="662"/>
      <c r="I12" s="662"/>
      <c r="J12" s="662"/>
      <c r="K12" s="662"/>
      <c r="L12" s="662"/>
      <c r="M12" s="662"/>
      <c r="N12" s="662"/>
      <c r="O12" s="662"/>
      <c r="P12" s="662"/>
      <c r="Q12" s="663"/>
      <c r="R12" s="626">
        <f>SUM(R7:T11)</f>
        <v>815.9</v>
      </c>
      <c r="S12" s="627"/>
      <c r="T12" s="628"/>
      <c r="U12" s="582">
        <f t="shared" ref="U12" si="2">SUM(U7:W11)</f>
        <v>1700</v>
      </c>
      <c r="V12" s="583"/>
      <c r="W12" s="584"/>
      <c r="X12" s="593">
        <f t="shared" ref="X12" si="3">SUM(X7:Z11)</f>
        <v>906.40000000000009</v>
      </c>
      <c r="Y12" s="594"/>
      <c r="Z12" s="595"/>
      <c r="AA12" s="579">
        <f t="shared" si="0"/>
        <v>-793.59999999999991</v>
      </c>
      <c r="AB12" s="580"/>
      <c r="AC12" s="581"/>
      <c r="AD12" s="643">
        <f t="shared" si="1"/>
        <v>53.317647058823539</v>
      </c>
      <c r="AE12" s="644"/>
      <c r="AF12" s="645"/>
    </row>
    <row r="13" spans="1:34" ht="11.25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28"/>
      <c r="AF13" s="28"/>
    </row>
    <row r="14" spans="1:34" ht="10.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30"/>
      <c r="O14" s="30"/>
      <c r="P14" s="30"/>
      <c r="Q14" s="30"/>
      <c r="R14" s="31"/>
      <c r="S14" s="31"/>
      <c r="T14" s="31"/>
      <c r="U14" s="31"/>
      <c r="V14" s="31"/>
      <c r="W14" s="31"/>
      <c r="X14" s="32"/>
      <c r="Y14" s="32"/>
      <c r="Z14" s="32"/>
      <c r="AA14" s="32"/>
      <c r="AB14" s="32"/>
      <c r="AC14" s="32"/>
      <c r="AD14" s="32"/>
      <c r="AE14" s="33"/>
      <c r="AF14" s="33"/>
    </row>
    <row r="15" spans="1:34" s="34" customFormat="1" ht="18.75" customHeight="1">
      <c r="C15" s="73" t="s">
        <v>340</v>
      </c>
      <c r="AG15" s="371"/>
      <c r="AH15" s="371"/>
    </row>
    <row r="16" spans="1:34" s="34" customFormat="1" ht="18.75" customHeight="1">
      <c r="AF16" s="22"/>
      <c r="AG16" s="371"/>
      <c r="AH16" s="371"/>
    </row>
    <row r="17" spans="1:34" ht="45.75" customHeight="1">
      <c r="A17" s="501" t="s">
        <v>47</v>
      </c>
      <c r="B17" s="617" t="s">
        <v>121</v>
      </c>
      <c r="C17" s="619"/>
      <c r="D17" s="469" t="s">
        <v>118</v>
      </c>
      <c r="E17" s="469"/>
      <c r="F17" s="469"/>
      <c r="G17" s="469"/>
      <c r="H17" s="585" t="s">
        <v>183</v>
      </c>
      <c r="I17" s="586"/>
      <c r="J17" s="586"/>
      <c r="K17" s="586"/>
      <c r="L17" s="586"/>
      <c r="M17" s="586"/>
      <c r="N17" s="586"/>
      <c r="O17" s="587"/>
      <c r="P17" s="585" t="s">
        <v>280</v>
      </c>
      <c r="Q17" s="587"/>
      <c r="R17" s="550" t="s">
        <v>120</v>
      </c>
      <c r="S17" s="600"/>
      <c r="T17" s="600"/>
      <c r="U17" s="600"/>
      <c r="V17" s="600"/>
      <c r="W17" s="600"/>
      <c r="X17" s="600"/>
      <c r="Y17" s="600"/>
      <c r="Z17" s="551"/>
      <c r="AA17" s="469" t="s">
        <v>316</v>
      </c>
      <c r="AB17" s="468"/>
      <c r="AC17" s="468"/>
      <c r="AD17" s="469" t="s">
        <v>317</v>
      </c>
      <c r="AE17" s="468"/>
      <c r="AF17" s="468"/>
    </row>
    <row r="18" spans="1:34" ht="24.9" customHeight="1">
      <c r="A18" s="501"/>
      <c r="B18" s="620"/>
      <c r="C18" s="622"/>
      <c r="D18" s="469"/>
      <c r="E18" s="469"/>
      <c r="F18" s="469"/>
      <c r="G18" s="469"/>
      <c r="H18" s="654"/>
      <c r="I18" s="465"/>
      <c r="J18" s="465"/>
      <c r="K18" s="465"/>
      <c r="L18" s="465"/>
      <c r="M18" s="465"/>
      <c r="N18" s="465"/>
      <c r="O18" s="655"/>
      <c r="P18" s="654"/>
      <c r="Q18" s="655"/>
      <c r="R18" s="585" t="s">
        <v>455</v>
      </c>
      <c r="S18" s="586"/>
      <c r="T18" s="587"/>
      <c r="U18" s="585" t="s">
        <v>453</v>
      </c>
      <c r="V18" s="586"/>
      <c r="W18" s="587"/>
      <c r="X18" s="585" t="s">
        <v>454</v>
      </c>
      <c r="Y18" s="646"/>
      <c r="Z18" s="647"/>
      <c r="AA18" s="468"/>
      <c r="AB18" s="468"/>
      <c r="AC18" s="468"/>
      <c r="AD18" s="468"/>
      <c r="AE18" s="468"/>
      <c r="AF18" s="468"/>
    </row>
    <row r="19" spans="1:34" ht="48" customHeight="1">
      <c r="A19" s="501"/>
      <c r="B19" s="623"/>
      <c r="C19" s="625"/>
      <c r="D19" s="469"/>
      <c r="E19" s="469"/>
      <c r="F19" s="469"/>
      <c r="G19" s="469"/>
      <c r="H19" s="588"/>
      <c r="I19" s="589"/>
      <c r="J19" s="589"/>
      <c r="K19" s="589"/>
      <c r="L19" s="589"/>
      <c r="M19" s="589"/>
      <c r="N19" s="589"/>
      <c r="O19" s="590"/>
      <c r="P19" s="588"/>
      <c r="Q19" s="590"/>
      <c r="R19" s="588"/>
      <c r="S19" s="589"/>
      <c r="T19" s="590"/>
      <c r="U19" s="588"/>
      <c r="V19" s="589"/>
      <c r="W19" s="590"/>
      <c r="X19" s="648"/>
      <c r="Y19" s="649"/>
      <c r="Z19" s="650"/>
      <c r="AA19" s="468"/>
      <c r="AB19" s="468"/>
      <c r="AC19" s="468"/>
      <c r="AD19" s="468"/>
      <c r="AE19" s="468"/>
      <c r="AF19" s="468"/>
    </row>
    <row r="20" spans="1:34" ht="28.5" customHeight="1">
      <c r="A20" s="74">
        <v>1</v>
      </c>
      <c r="B20" s="669">
        <v>2</v>
      </c>
      <c r="C20" s="670"/>
      <c r="D20" s="469">
        <v>3</v>
      </c>
      <c r="E20" s="469"/>
      <c r="F20" s="469"/>
      <c r="G20" s="469"/>
      <c r="H20" s="547">
        <v>4</v>
      </c>
      <c r="I20" s="608"/>
      <c r="J20" s="608"/>
      <c r="K20" s="608"/>
      <c r="L20" s="608"/>
      <c r="M20" s="608"/>
      <c r="N20" s="608"/>
      <c r="O20" s="548"/>
      <c r="P20" s="547">
        <v>5</v>
      </c>
      <c r="Q20" s="548"/>
      <c r="R20" s="547">
        <v>6</v>
      </c>
      <c r="S20" s="608"/>
      <c r="T20" s="548"/>
      <c r="U20" s="547">
        <v>7</v>
      </c>
      <c r="V20" s="608"/>
      <c r="W20" s="548"/>
      <c r="X20" s="547">
        <v>8</v>
      </c>
      <c r="Y20" s="608"/>
      <c r="Z20" s="548"/>
      <c r="AA20" s="547">
        <v>9</v>
      </c>
      <c r="AB20" s="608"/>
      <c r="AC20" s="548"/>
      <c r="AD20" s="547">
        <v>10</v>
      </c>
      <c r="AE20" s="608"/>
      <c r="AF20" s="548"/>
    </row>
    <row r="21" spans="1:34" ht="30.75" customHeight="1">
      <c r="A21" s="280"/>
      <c r="B21" s="659"/>
      <c r="C21" s="660"/>
      <c r="D21" s="469"/>
      <c r="E21" s="469"/>
      <c r="F21" s="469"/>
      <c r="G21" s="469"/>
      <c r="H21" s="656"/>
      <c r="I21" s="657"/>
      <c r="J21" s="657"/>
      <c r="K21" s="657"/>
      <c r="L21" s="657"/>
      <c r="M21" s="657"/>
      <c r="N21" s="657"/>
      <c r="O21" s="658"/>
      <c r="P21" s="676"/>
      <c r="Q21" s="677"/>
      <c r="R21" s="651"/>
      <c r="S21" s="652"/>
      <c r="T21" s="653"/>
      <c r="U21" s="651"/>
      <c r="V21" s="652"/>
      <c r="W21" s="653"/>
      <c r="X21" s="651"/>
      <c r="Y21" s="652"/>
      <c r="Z21" s="653"/>
      <c r="AA21" s="651">
        <f>X21-U21</f>
        <v>0</v>
      </c>
      <c r="AB21" s="652"/>
      <c r="AC21" s="653"/>
      <c r="AD21" s="651">
        <f>IF(U21=0,0,X21/U21*100)</f>
        <v>0</v>
      </c>
      <c r="AE21" s="652"/>
      <c r="AF21" s="653"/>
    </row>
    <row r="22" spans="1:34" ht="30.75" customHeight="1">
      <c r="A22" s="280"/>
      <c r="B22" s="659"/>
      <c r="C22" s="660"/>
      <c r="D22" s="469"/>
      <c r="E22" s="469"/>
      <c r="F22" s="469"/>
      <c r="G22" s="469"/>
      <c r="H22" s="656"/>
      <c r="I22" s="657"/>
      <c r="J22" s="657"/>
      <c r="K22" s="657"/>
      <c r="L22" s="657"/>
      <c r="M22" s="657"/>
      <c r="N22" s="657"/>
      <c r="O22" s="658"/>
      <c r="P22" s="676"/>
      <c r="Q22" s="677"/>
      <c r="R22" s="651"/>
      <c r="S22" s="652"/>
      <c r="T22" s="653"/>
      <c r="U22" s="651"/>
      <c r="V22" s="652"/>
      <c r="W22" s="653"/>
      <c r="X22" s="651"/>
      <c r="Y22" s="652"/>
      <c r="Z22" s="653"/>
      <c r="AA22" s="651">
        <f t="shared" ref="AA22:AA23" si="4">X22-U22</f>
        <v>0</v>
      </c>
      <c r="AB22" s="652"/>
      <c r="AC22" s="653"/>
      <c r="AD22" s="651">
        <f t="shared" ref="AD22:AD23" si="5">IF(U22=0,0,X22/U22*100)</f>
        <v>0</v>
      </c>
      <c r="AE22" s="652"/>
      <c r="AF22" s="653"/>
    </row>
    <row r="23" spans="1:34" ht="38.25" customHeight="1">
      <c r="A23" s="661" t="s">
        <v>50</v>
      </c>
      <c r="B23" s="662"/>
      <c r="C23" s="662"/>
      <c r="D23" s="662"/>
      <c r="E23" s="662"/>
      <c r="F23" s="662"/>
      <c r="G23" s="662"/>
      <c r="H23" s="662"/>
      <c r="I23" s="662"/>
      <c r="J23" s="662"/>
      <c r="K23" s="662"/>
      <c r="L23" s="662"/>
      <c r="M23" s="662"/>
      <c r="N23" s="662"/>
      <c r="O23" s="662"/>
      <c r="P23" s="662"/>
      <c r="Q23" s="663"/>
      <c r="R23" s="626">
        <f>SUM(R21:T22)</f>
        <v>0</v>
      </c>
      <c r="S23" s="627"/>
      <c r="T23" s="628"/>
      <c r="U23" s="626">
        <f t="shared" ref="U23" si="6">SUM(U21:W22)</f>
        <v>0</v>
      </c>
      <c r="V23" s="627"/>
      <c r="W23" s="628"/>
      <c r="X23" s="626">
        <f t="shared" ref="X23" si="7">SUM(X21:Z22)</f>
        <v>0</v>
      </c>
      <c r="Y23" s="627"/>
      <c r="Z23" s="628"/>
      <c r="AA23" s="626">
        <f t="shared" si="4"/>
        <v>0</v>
      </c>
      <c r="AB23" s="627"/>
      <c r="AC23" s="628"/>
      <c r="AD23" s="626">
        <f t="shared" si="5"/>
        <v>0</v>
      </c>
      <c r="AE23" s="627"/>
      <c r="AF23" s="628"/>
    </row>
    <row r="24" spans="1:34" ht="21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0"/>
      <c r="R24" s="196"/>
      <c r="S24" s="196"/>
      <c r="T24" s="196"/>
      <c r="U24" s="196"/>
      <c r="V24" s="196"/>
      <c r="W24" s="60"/>
      <c r="X24" s="60"/>
      <c r="Y24" s="60"/>
      <c r="Z24" s="60"/>
      <c r="AA24" s="60"/>
      <c r="AB24" s="60"/>
      <c r="AC24" s="60"/>
      <c r="AD24" s="60"/>
      <c r="AE24" s="60"/>
      <c r="AF24" s="196"/>
    </row>
    <row r="25" spans="1:34" ht="16.5" customHeight="1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0"/>
      <c r="R25" s="196"/>
      <c r="S25" s="196"/>
      <c r="T25" s="196"/>
      <c r="U25" s="196"/>
      <c r="V25" s="196"/>
      <c r="W25" s="60"/>
      <c r="X25" s="60"/>
      <c r="Y25" s="60"/>
      <c r="Z25" s="60"/>
      <c r="AA25" s="60"/>
      <c r="AB25" s="60"/>
      <c r="AC25" s="60"/>
      <c r="AD25" s="60"/>
      <c r="AE25" s="60"/>
      <c r="AF25" s="196"/>
    </row>
    <row r="26" spans="1:34" s="34" customFormat="1" ht="18.75" customHeight="1">
      <c r="A26" s="72"/>
      <c r="B26" s="72"/>
      <c r="C26" s="72" t="s">
        <v>456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371"/>
      <c r="AH26" s="371"/>
    </row>
    <row r="27" spans="1:34" ht="21">
      <c r="A27" s="75"/>
      <c r="B27" s="75"/>
      <c r="C27" s="75"/>
      <c r="D27" s="75"/>
      <c r="E27" s="75"/>
      <c r="F27" s="75"/>
      <c r="G27" s="75"/>
      <c r="H27" s="75"/>
      <c r="I27" s="281"/>
      <c r="J27" s="281"/>
      <c r="K27" s="281"/>
      <c r="L27" s="281"/>
      <c r="M27" s="281"/>
      <c r="N27" s="281"/>
      <c r="O27" s="281"/>
      <c r="P27" s="281"/>
      <c r="Q27" s="281"/>
      <c r="R27" s="379"/>
      <c r="S27" s="281"/>
      <c r="T27" s="281"/>
      <c r="U27" s="281"/>
      <c r="V27" s="281"/>
      <c r="W27" s="75"/>
      <c r="X27" s="60"/>
      <c r="Y27" s="60"/>
      <c r="Z27" s="527"/>
      <c r="AA27" s="527"/>
      <c r="AB27" s="527"/>
      <c r="AC27" s="60"/>
      <c r="AD27" s="527" t="s">
        <v>318</v>
      </c>
      <c r="AE27" s="527"/>
      <c r="AF27" s="527"/>
    </row>
    <row r="28" spans="1:34" s="60" customFormat="1" ht="42" customHeight="1">
      <c r="A28" s="637" t="s">
        <v>47</v>
      </c>
      <c r="B28" s="617" t="s">
        <v>141</v>
      </c>
      <c r="C28" s="618"/>
      <c r="D28" s="618"/>
      <c r="E28" s="618"/>
      <c r="F28" s="618"/>
      <c r="G28" s="618"/>
      <c r="H28" s="618"/>
      <c r="I28" s="618"/>
      <c r="J28" s="618"/>
      <c r="K28" s="618"/>
      <c r="L28" s="619"/>
      <c r="M28" s="629" t="s">
        <v>49</v>
      </c>
      <c r="N28" s="630"/>
      <c r="O28" s="630"/>
      <c r="P28" s="631"/>
      <c r="Q28" s="629" t="s">
        <v>72</v>
      </c>
      <c r="R28" s="630"/>
      <c r="S28" s="630"/>
      <c r="T28" s="631"/>
      <c r="U28" s="629" t="s">
        <v>165</v>
      </c>
      <c r="V28" s="630"/>
      <c r="W28" s="630"/>
      <c r="X28" s="631"/>
      <c r="Y28" s="629" t="s">
        <v>457</v>
      </c>
      <c r="Z28" s="630"/>
      <c r="AA28" s="630"/>
      <c r="AB28" s="631"/>
      <c r="AC28" s="629" t="s">
        <v>50</v>
      </c>
      <c r="AD28" s="630"/>
      <c r="AE28" s="630"/>
      <c r="AF28" s="631"/>
      <c r="AG28" s="372" t="s">
        <v>72</v>
      </c>
      <c r="AH28" s="380"/>
    </row>
    <row r="29" spans="1:34" s="60" customFormat="1" ht="34.5" customHeight="1">
      <c r="A29" s="638"/>
      <c r="B29" s="620"/>
      <c r="C29" s="621"/>
      <c r="D29" s="621"/>
      <c r="E29" s="621"/>
      <c r="F29" s="621"/>
      <c r="G29" s="621"/>
      <c r="H29" s="621"/>
      <c r="I29" s="621"/>
      <c r="J29" s="621"/>
      <c r="K29" s="621"/>
      <c r="L29" s="622"/>
      <c r="M29" s="615" t="s">
        <v>139</v>
      </c>
      <c r="N29" s="615" t="s">
        <v>140</v>
      </c>
      <c r="O29" s="615" t="s">
        <v>150</v>
      </c>
      <c r="P29" s="615" t="s">
        <v>151</v>
      </c>
      <c r="Q29" s="615" t="s">
        <v>139</v>
      </c>
      <c r="R29" s="615" t="s">
        <v>140</v>
      </c>
      <c r="S29" s="615" t="s">
        <v>150</v>
      </c>
      <c r="T29" s="615" t="s">
        <v>151</v>
      </c>
      <c r="U29" s="615" t="s">
        <v>139</v>
      </c>
      <c r="V29" s="615" t="s">
        <v>140</v>
      </c>
      <c r="W29" s="615" t="s">
        <v>150</v>
      </c>
      <c r="X29" s="615" t="s">
        <v>151</v>
      </c>
      <c r="Y29" s="615" t="s">
        <v>139</v>
      </c>
      <c r="Z29" s="615" t="s">
        <v>140</v>
      </c>
      <c r="AA29" s="615" t="s">
        <v>150</v>
      </c>
      <c r="AB29" s="615" t="s">
        <v>151</v>
      </c>
      <c r="AC29" s="615" t="s">
        <v>139</v>
      </c>
      <c r="AD29" s="615" t="s">
        <v>140</v>
      </c>
      <c r="AE29" s="615" t="s">
        <v>150</v>
      </c>
      <c r="AF29" s="615" t="s">
        <v>151</v>
      </c>
      <c r="AG29" s="372" t="s">
        <v>786</v>
      </c>
      <c r="AH29" s="372" t="s">
        <v>787</v>
      </c>
    </row>
    <row r="30" spans="1:34" s="60" customFormat="1" ht="24.9" customHeight="1">
      <c r="A30" s="639"/>
      <c r="B30" s="623"/>
      <c r="C30" s="624"/>
      <c r="D30" s="624"/>
      <c r="E30" s="624"/>
      <c r="F30" s="624"/>
      <c r="G30" s="624"/>
      <c r="H30" s="624"/>
      <c r="I30" s="624"/>
      <c r="J30" s="624"/>
      <c r="K30" s="624"/>
      <c r="L30" s="625"/>
      <c r="M30" s="616"/>
      <c r="N30" s="616"/>
      <c r="O30" s="616"/>
      <c r="P30" s="616"/>
      <c r="Q30" s="616"/>
      <c r="R30" s="616"/>
      <c r="S30" s="616"/>
      <c r="T30" s="616"/>
      <c r="U30" s="616"/>
      <c r="V30" s="616"/>
      <c r="W30" s="616"/>
      <c r="X30" s="616"/>
      <c r="Y30" s="616"/>
      <c r="Z30" s="616"/>
      <c r="AA30" s="616"/>
      <c r="AB30" s="616"/>
      <c r="AC30" s="616"/>
      <c r="AD30" s="616"/>
      <c r="AE30" s="616"/>
      <c r="AF30" s="616"/>
      <c r="AG30" s="372"/>
      <c r="AH30" s="381"/>
    </row>
    <row r="31" spans="1:34" s="60" customFormat="1" ht="33.75" customHeight="1">
      <c r="A31" s="280">
        <v>1</v>
      </c>
      <c r="B31" s="703">
        <v>2</v>
      </c>
      <c r="C31" s="703"/>
      <c r="D31" s="703"/>
      <c r="E31" s="703"/>
      <c r="F31" s="703"/>
      <c r="G31" s="703"/>
      <c r="H31" s="703"/>
      <c r="I31" s="703"/>
      <c r="J31" s="703"/>
      <c r="K31" s="703"/>
      <c r="L31" s="703"/>
      <c r="M31" s="278">
        <v>3</v>
      </c>
      <c r="N31" s="278">
        <v>4</v>
      </c>
      <c r="O31" s="278">
        <v>5</v>
      </c>
      <c r="P31" s="278">
        <v>6</v>
      </c>
      <c r="Q31" s="278">
        <v>7</v>
      </c>
      <c r="R31" s="278">
        <v>8</v>
      </c>
      <c r="S31" s="278">
        <v>9</v>
      </c>
      <c r="T31" s="278">
        <v>10</v>
      </c>
      <c r="U31" s="278">
        <v>11</v>
      </c>
      <c r="V31" s="278">
        <v>12</v>
      </c>
      <c r="W31" s="278">
        <v>13</v>
      </c>
      <c r="X31" s="278">
        <v>14</v>
      </c>
      <c r="Y31" s="278">
        <v>15</v>
      </c>
      <c r="Z31" s="278">
        <v>16</v>
      </c>
      <c r="AA31" s="278">
        <v>17</v>
      </c>
      <c r="AB31" s="278">
        <v>18</v>
      </c>
      <c r="AC31" s="278">
        <v>19</v>
      </c>
      <c r="AD31" s="278">
        <v>20</v>
      </c>
      <c r="AE31" s="278">
        <v>21</v>
      </c>
      <c r="AF31" s="278">
        <v>22</v>
      </c>
      <c r="AG31" s="372"/>
      <c r="AH31" s="381"/>
    </row>
    <row r="32" spans="1:34" s="60" customFormat="1" ht="21">
      <c r="A32" s="280">
        <v>1</v>
      </c>
      <c r="B32" s="681" t="s">
        <v>1</v>
      </c>
      <c r="C32" s="682"/>
      <c r="D32" s="682"/>
      <c r="E32" s="682"/>
      <c r="F32" s="682"/>
      <c r="G32" s="682"/>
      <c r="H32" s="682"/>
      <c r="I32" s="682"/>
      <c r="J32" s="682"/>
      <c r="K32" s="682"/>
      <c r="L32" s="683"/>
      <c r="M32" s="278"/>
      <c r="N32" s="278"/>
      <c r="O32" s="86">
        <f t="shared" ref="O32:O52" si="8">N32-M32</f>
        <v>0</v>
      </c>
      <c r="P32" s="105">
        <f t="shared" ref="P32:P52" si="9">IF(M32=0,0,N32/M32*100)</f>
        <v>0</v>
      </c>
      <c r="Q32" s="352"/>
      <c r="R32" s="278"/>
      <c r="S32" s="86">
        <f t="shared" ref="S32:S52" si="10">R32-Q32</f>
        <v>0</v>
      </c>
      <c r="T32" s="105">
        <f t="shared" ref="T32:T52" si="11">IF(Q32=0,0,R32/Q32*100)</f>
        <v>0</v>
      </c>
      <c r="U32" s="278"/>
      <c r="V32" s="278"/>
      <c r="W32" s="86">
        <f t="shared" ref="W32:W52" si="12">V32-U32</f>
        <v>0</v>
      </c>
      <c r="X32" s="105">
        <f t="shared" ref="X32:X52" si="13">IF(U32=0,0,V32/U32*100)</f>
        <v>0</v>
      </c>
      <c r="Y32" s="278"/>
      <c r="Z32" s="278"/>
      <c r="AA32" s="86">
        <f t="shared" ref="AA32:AA52" si="14">Z32-Y32</f>
        <v>0</v>
      </c>
      <c r="AB32" s="105">
        <f t="shared" ref="AB32:AB52" si="15">IF(Y32=0,0,Z32/Y32*100)</f>
        <v>0</v>
      </c>
      <c r="AC32" s="105">
        <f t="shared" ref="AC32:AC52" si="16">SUM(M32,Q32,U32,Y32)</f>
        <v>0</v>
      </c>
      <c r="AD32" s="105">
        <f t="shared" ref="AD32:AD52" si="17">SUM(N32,R32,V32,Z32)</f>
        <v>0</v>
      </c>
      <c r="AE32" s="86">
        <f t="shared" ref="AE32:AE52" si="18">AD32-AC32</f>
        <v>0</v>
      </c>
      <c r="AF32" s="105">
        <f t="shared" ref="AF32:AF52" si="19">IF(AC32=0,0,AD32/AC32*100)</f>
        <v>0</v>
      </c>
      <c r="AG32" s="372"/>
      <c r="AH32" s="372"/>
    </row>
    <row r="33" spans="1:34" s="60" customFormat="1" ht="21">
      <c r="A33" s="280">
        <v>2</v>
      </c>
      <c r="B33" s="681" t="s">
        <v>729</v>
      </c>
      <c r="C33" s="682"/>
      <c r="D33" s="682"/>
      <c r="E33" s="682"/>
      <c r="F33" s="682"/>
      <c r="G33" s="682"/>
      <c r="H33" s="682"/>
      <c r="I33" s="682"/>
      <c r="J33" s="682"/>
      <c r="K33" s="682"/>
      <c r="L33" s="683"/>
      <c r="M33" s="278"/>
      <c r="N33" s="278"/>
      <c r="O33" s="86">
        <f t="shared" si="8"/>
        <v>0</v>
      </c>
      <c r="P33" s="105">
        <f t="shared" si="9"/>
        <v>0</v>
      </c>
      <c r="Q33" s="328">
        <f>SUM(Q34:Q43)</f>
        <v>32935.9</v>
      </c>
      <c r="R33" s="401">
        <f>SUM(R34:R43)</f>
        <v>9628</v>
      </c>
      <c r="S33" s="401">
        <f t="shared" si="10"/>
        <v>-23307.9</v>
      </c>
      <c r="T33" s="350">
        <f t="shared" si="11"/>
        <v>29.232539569284576</v>
      </c>
      <c r="U33" s="328">
        <f>SUM(U34:U43)</f>
        <v>400</v>
      </c>
      <c r="V33" s="401">
        <f>SUM(V34:V43)</f>
        <v>2211</v>
      </c>
      <c r="W33" s="401">
        <f t="shared" si="12"/>
        <v>1811</v>
      </c>
      <c r="X33" s="350">
        <f t="shared" si="13"/>
        <v>552.75</v>
      </c>
      <c r="Y33" s="176"/>
      <c r="Z33" s="176"/>
      <c r="AA33" s="176">
        <f t="shared" si="14"/>
        <v>0</v>
      </c>
      <c r="AB33" s="350">
        <f t="shared" si="15"/>
        <v>0</v>
      </c>
      <c r="AC33" s="423">
        <f t="shared" si="16"/>
        <v>33335.9</v>
      </c>
      <c r="AD33" s="417">
        <f t="shared" si="17"/>
        <v>11839</v>
      </c>
      <c r="AE33" s="401">
        <f t="shared" si="18"/>
        <v>-21496.9</v>
      </c>
      <c r="AF33" s="350">
        <f t="shared" si="19"/>
        <v>35.514265401564074</v>
      </c>
      <c r="AG33" s="372"/>
      <c r="AH33" s="372"/>
    </row>
    <row r="34" spans="1:34" s="60" customFormat="1" ht="21" customHeight="1">
      <c r="A34" s="280"/>
      <c r="B34" s="698" t="s">
        <v>735</v>
      </c>
      <c r="C34" s="699"/>
      <c r="D34" s="699"/>
      <c r="E34" s="699"/>
      <c r="F34" s="699"/>
      <c r="G34" s="699"/>
      <c r="H34" s="699"/>
      <c r="I34" s="699"/>
      <c r="J34" s="699"/>
      <c r="K34" s="699"/>
      <c r="L34" s="700"/>
      <c r="M34" s="278"/>
      <c r="N34" s="278"/>
      <c r="O34" s="86"/>
      <c r="P34" s="105"/>
      <c r="Q34" s="328"/>
      <c r="R34" s="401"/>
      <c r="S34" s="401"/>
      <c r="T34" s="350"/>
      <c r="U34" s="328"/>
      <c r="V34" s="220">
        <v>372</v>
      </c>
      <c r="W34" s="401"/>
      <c r="X34" s="350"/>
      <c r="Y34" s="176"/>
      <c r="Z34" s="176"/>
      <c r="AA34" s="176"/>
      <c r="AB34" s="350"/>
      <c r="AC34" s="423"/>
      <c r="AD34" s="417">
        <f t="shared" ref="AD34:AD42" si="20">SUM(N34,R34,V34,Z34)</f>
        <v>372</v>
      </c>
      <c r="AE34" s="401">
        <f t="shared" ref="AE34:AE42" si="21">AD34-AC34</f>
        <v>372</v>
      </c>
      <c r="AF34" s="350">
        <f t="shared" ref="AF34:AF42" si="22">IF(AC34=0,0,AD34/AC34*100)</f>
        <v>0</v>
      </c>
      <c r="AG34" s="372"/>
      <c r="AH34" s="372"/>
    </row>
    <row r="35" spans="1:34" s="60" customFormat="1" ht="24" customHeight="1">
      <c r="A35" s="280"/>
      <c r="B35" s="656" t="s">
        <v>736</v>
      </c>
      <c r="C35" s="657"/>
      <c r="D35" s="657"/>
      <c r="E35" s="657"/>
      <c r="F35" s="657"/>
      <c r="G35" s="657"/>
      <c r="H35" s="657"/>
      <c r="I35" s="657"/>
      <c r="J35" s="657"/>
      <c r="K35" s="657"/>
      <c r="L35" s="658"/>
      <c r="M35" s="278"/>
      <c r="N35" s="278"/>
      <c r="O35" s="86"/>
      <c r="P35" s="105"/>
      <c r="Q35" s="328"/>
      <c r="R35" s="220"/>
      <c r="S35" s="401"/>
      <c r="T35" s="350"/>
      <c r="U35" s="328"/>
      <c r="V35" s="220">
        <v>1513</v>
      </c>
      <c r="W35" s="401"/>
      <c r="X35" s="350"/>
      <c r="Y35" s="176"/>
      <c r="Z35" s="176"/>
      <c r="AA35" s="176"/>
      <c r="AB35" s="350"/>
      <c r="AC35" s="423"/>
      <c r="AD35" s="417">
        <f t="shared" si="20"/>
        <v>1513</v>
      </c>
      <c r="AE35" s="401">
        <f t="shared" si="21"/>
        <v>1513</v>
      </c>
      <c r="AF35" s="350">
        <f t="shared" si="22"/>
        <v>0</v>
      </c>
      <c r="AG35" s="372"/>
      <c r="AH35" s="372"/>
    </row>
    <row r="36" spans="1:34" s="60" customFormat="1" ht="24" customHeight="1">
      <c r="A36" s="280"/>
      <c r="B36" s="656" t="s">
        <v>781</v>
      </c>
      <c r="C36" s="657"/>
      <c r="D36" s="657"/>
      <c r="E36" s="657"/>
      <c r="F36" s="657"/>
      <c r="G36" s="657"/>
      <c r="H36" s="657"/>
      <c r="I36" s="657"/>
      <c r="J36" s="657"/>
      <c r="K36" s="657"/>
      <c r="L36" s="658"/>
      <c r="M36" s="278"/>
      <c r="N36" s="278"/>
      <c r="O36" s="86">
        <f>N36-M36</f>
        <v>0</v>
      </c>
      <c r="P36" s="105">
        <f>IF(M36=0,0,N36/M36*100)</f>
        <v>0</v>
      </c>
      <c r="Q36" s="328">
        <v>32935.9</v>
      </c>
      <c r="R36" s="401"/>
      <c r="S36" s="401">
        <f>R36-Q36</f>
        <v>-32935.9</v>
      </c>
      <c r="T36" s="350">
        <f>IF(Q36=0,0,R36/Q36*100)</f>
        <v>0</v>
      </c>
      <c r="U36" s="328"/>
      <c r="V36" s="401"/>
      <c r="W36" s="401">
        <f>V36-U36</f>
        <v>0</v>
      </c>
      <c r="X36" s="350">
        <f>IF(U36=0,0,V36/U36*100)</f>
        <v>0</v>
      </c>
      <c r="Y36" s="176"/>
      <c r="Z36" s="176"/>
      <c r="AA36" s="176">
        <f>Z36-Y36</f>
        <v>0</v>
      </c>
      <c r="AB36" s="350">
        <f>IF(Y36=0,0,Z36/Y36*100)</f>
        <v>0</v>
      </c>
      <c r="AC36" s="423">
        <f>SUM(M36,Q36,U36,Y36)</f>
        <v>32935.9</v>
      </c>
      <c r="AD36" s="417">
        <f t="shared" si="20"/>
        <v>0</v>
      </c>
      <c r="AE36" s="401">
        <f t="shared" si="21"/>
        <v>-32935.9</v>
      </c>
      <c r="AF36" s="350">
        <f t="shared" si="22"/>
        <v>0</v>
      </c>
      <c r="AG36" s="372">
        <v>34335866</v>
      </c>
      <c r="AH36" s="372">
        <f>AG36/1.2</f>
        <v>28613221.666666668</v>
      </c>
    </row>
    <row r="37" spans="1:34" s="60" customFormat="1" ht="24" customHeight="1">
      <c r="A37" s="280"/>
      <c r="B37" s="656" t="s">
        <v>576</v>
      </c>
      <c r="C37" s="657"/>
      <c r="D37" s="657"/>
      <c r="E37" s="657"/>
      <c r="F37" s="657"/>
      <c r="G37" s="657"/>
      <c r="H37" s="657"/>
      <c r="I37" s="657"/>
      <c r="J37" s="657"/>
      <c r="K37" s="657"/>
      <c r="L37" s="658"/>
      <c r="M37" s="278"/>
      <c r="N37" s="278"/>
      <c r="O37" s="86"/>
      <c r="P37" s="105"/>
      <c r="Q37" s="328"/>
      <c r="R37" s="220"/>
      <c r="S37" s="401"/>
      <c r="T37" s="350"/>
      <c r="U37" s="328"/>
      <c r="V37" s="422">
        <v>57</v>
      </c>
      <c r="W37" s="401"/>
      <c r="X37" s="350"/>
      <c r="Y37" s="176"/>
      <c r="Z37" s="176"/>
      <c r="AA37" s="176"/>
      <c r="AB37" s="350"/>
      <c r="AC37" s="423"/>
      <c r="AD37" s="417">
        <f t="shared" si="20"/>
        <v>57</v>
      </c>
      <c r="AE37" s="401">
        <f t="shared" si="21"/>
        <v>57</v>
      </c>
      <c r="AF37" s="350">
        <f t="shared" si="22"/>
        <v>0</v>
      </c>
      <c r="AG37" s="372"/>
      <c r="AH37" s="372"/>
    </row>
    <row r="38" spans="1:34" s="60" customFormat="1" ht="24" customHeight="1">
      <c r="A38" s="280"/>
      <c r="B38" s="656" t="s">
        <v>578</v>
      </c>
      <c r="C38" s="657"/>
      <c r="D38" s="657"/>
      <c r="E38" s="657"/>
      <c r="F38" s="657"/>
      <c r="G38" s="657"/>
      <c r="H38" s="657"/>
      <c r="I38" s="657"/>
      <c r="J38" s="657"/>
      <c r="K38" s="657"/>
      <c r="L38" s="658"/>
      <c r="M38" s="278"/>
      <c r="N38" s="278"/>
      <c r="O38" s="86"/>
      <c r="P38" s="105"/>
      <c r="Q38" s="328"/>
      <c r="R38" s="220"/>
      <c r="S38" s="401"/>
      <c r="T38" s="350"/>
      <c r="U38" s="328"/>
      <c r="V38" s="220">
        <v>26</v>
      </c>
      <c r="W38" s="401"/>
      <c r="X38" s="350"/>
      <c r="Y38" s="176"/>
      <c r="Z38" s="176"/>
      <c r="AA38" s="176"/>
      <c r="AB38" s="350"/>
      <c r="AC38" s="423"/>
      <c r="AD38" s="417">
        <f t="shared" si="20"/>
        <v>26</v>
      </c>
      <c r="AE38" s="401">
        <f t="shared" si="21"/>
        <v>26</v>
      </c>
      <c r="AF38" s="350">
        <f t="shared" si="22"/>
        <v>0</v>
      </c>
      <c r="AG38" s="372"/>
      <c r="AH38" s="372"/>
    </row>
    <row r="39" spans="1:34" s="60" customFormat="1" ht="24" customHeight="1">
      <c r="A39" s="280"/>
      <c r="B39" s="656" t="s">
        <v>580</v>
      </c>
      <c r="C39" s="657"/>
      <c r="D39" s="657"/>
      <c r="E39" s="657"/>
      <c r="F39" s="657"/>
      <c r="G39" s="657"/>
      <c r="H39" s="657"/>
      <c r="I39" s="657"/>
      <c r="J39" s="657"/>
      <c r="K39" s="657"/>
      <c r="L39" s="658"/>
      <c r="M39" s="278"/>
      <c r="N39" s="278"/>
      <c r="O39" s="86"/>
      <c r="P39" s="105"/>
      <c r="Q39" s="328"/>
      <c r="R39" s="220"/>
      <c r="S39" s="401"/>
      <c r="T39" s="350"/>
      <c r="U39" s="328"/>
      <c r="V39" s="220">
        <v>50</v>
      </c>
      <c r="W39" s="401"/>
      <c r="X39" s="350"/>
      <c r="Y39" s="176"/>
      <c r="Z39" s="176"/>
      <c r="AA39" s="176"/>
      <c r="AB39" s="350"/>
      <c r="AC39" s="423"/>
      <c r="AD39" s="417">
        <f t="shared" si="20"/>
        <v>50</v>
      </c>
      <c r="AE39" s="401">
        <f t="shared" si="21"/>
        <v>50</v>
      </c>
      <c r="AF39" s="350">
        <f t="shared" si="22"/>
        <v>0</v>
      </c>
      <c r="AG39" s="372"/>
      <c r="AH39" s="372"/>
    </row>
    <row r="40" spans="1:34" s="60" customFormat="1" ht="24" customHeight="1">
      <c r="A40" s="280"/>
      <c r="B40" s="656" t="s">
        <v>581</v>
      </c>
      <c r="C40" s="657"/>
      <c r="D40" s="657"/>
      <c r="E40" s="657"/>
      <c r="F40" s="657"/>
      <c r="G40" s="657"/>
      <c r="H40" s="657"/>
      <c r="I40" s="657"/>
      <c r="J40" s="657"/>
      <c r="K40" s="657"/>
      <c r="L40" s="658"/>
      <c r="M40" s="278"/>
      <c r="N40" s="278"/>
      <c r="O40" s="86"/>
      <c r="P40" s="105"/>
      <c r="Q40" s="328"/>
      <c r="R40" s="220"/>
      <c r="S40" s="401"/>
      <c r="T40" s="350"/>
      <c r="U40" s="328"/>
      <c r="V40" s="220">
        <v>26</v>
      </c>
      <c r="W40" s="401"/>
      <c r="X40" s="350"/>
      <c r="Y40" s="176"/>
      <c r="Z40" s="176"/>
      <c r="AA40" s="176"/>
      <c r="AB40" s="350"/>
      <c r="AC40" s="423"/>
      <c r="AD40" s="417">
        <f t="shared" si="20"/>
        <v>26</v>
      </c>
      <c r="AE40" s="401">
        <f t="shared" si="21"/>
        <v>26</v>
      </c>
      <c r="AF40" s="350">
        <f t="shared" si="22"/>
        <v>0</v>
      </c>
      <c r="AG40" s="372"/>
      <c r="AH40" s="372"/>
    </row>
    <row r="41" spans="1:34" s="60" customFormat="1" ht="24" customHeight="1">
      <c r="A41" s="280"/>
      <c r="B41" s="656" t="s">
        <v>740</v>
      </c>
      <c r="C41" s="657"/>
      <c r="D41" s="657"/>
      <c r="E41" s="657"/>
      <c r="F41" s="657"/>
      <c r="G41" s="657"/>
      <c r="H41" s="657"/>
      <c r="I41" s="657"/>
      <c r="J41" s="657"/>
      <c r="K41" s="657"/>
      <c r="L41" s="658"/>
      <c r="M41" s="278"/>
      <c r="N41" s="278"/>
      <c r="O41" s="86"/>
      <c r="P41" s="105"/>
      <c r="Q41" s="328"/>
      <c r="R41" s="220"/>
      <c r="S41" s="401"/>
      <c r="T41" s="350"/>
      <c r="U41" s="328"/>
      <c r="V41" s="220">
        <v>68</v>
      </c>
      <c r="W41" s="401"/>
      <c r="X41" s="350"/>
      <c r="Y41" s="176"/>
      <c r="Z41" s="176"/>
      <c r="AA41" s="176"/>
      <c r="AB41" s="350"/>
      <c r="AC41" s="423"/>
      <c r="AD41" s="417">
        <f t="shared" si="20"/>
        <v>68</v>
      </c>
      <c r="AE41" s="401">
        <f t="shared" si="21"/>
        <v>68</v>
      </c>
      <c r="AF41" s="350">
        <f t="shared" si="22"/>
        <v>0</v>
      </c>
      <c r="AG41" s="372"/>
      <c r="AH41" s="372"/>
    </row>
    <row r="42" spans="1:34" s="60" customFormat="1" ht="21" customHeight="1">
      <c r="A42" s="280"/>
      <c r="B42" s="656" t="s">
        <v>584</v>
      </c>
      <c r="C42" s="657"/>
      <c r="D42" s="657"/>
      <c r="E42" s="657"/>
      <c r="F42" s="657"/>
      <c r="G42" s="657"/>
      <c r="H42" s="657"/>
      <c r="I42" s="657"/>
      <c r="J42" s="657"/>
      <c r="K42" s="657"/>
      <c r="L42" s="658"/>
      <c r="M42" s="278"/>
      <c r="N42" s="278"/>
      <c r="O42" s="86">
        <f>N42-M42</f>
        <v>0</v>
      </c>
      <c r="P42" s="105">
        <f>IF(M42=0,0,N42/M42*100)</f>
        <v>0</v>
      </c>
      <c r="Q42" s="328"/>
      <c r="R42" s="401"/>
      <c r="S42" s="401">
        <f>R42-Q42</f>
        <v>0</v>
      </c>
      <c r="T42" s="350">
        <f>IF(Q42=0,0,R42/Q42*100)</f>
        <v>0</v>
      </c>
      <c r="U42" s="328">
        <v>400</v>
      </c>
      <c r="V42" s="401">
        <v>99</v>
      </c>
      <c r="W42" s="401">
        <f>V42-U42</f>
        <v>-301</v>
      </c>
      <c r="X42" s="350">
        <f>IF(U42=0,0,V42/U42*100)</f>
        <v>24.75</v>
      </c>
      <c r="Y42" s="176"/>
      <c r="Z42" s="176"/>
      <c r="AA42" s="176">
        <f>Z42-Y42</f>
        <v>0</v>
      </c>
      <c r="AB42" s="350">
        <f>IF(Y42=0,0,Z42/Y42*100)</f>
        <v>0</v>
      </c>
      <c r="AC42" s="423">
        <f>SUM(M42,Q42,U42,Y42)</f>
        <v>400</v>
      </c>
      <c r="AD42" s="417">
        <f t="shared" si="20"/>
        <v>99</v>
      </c>
      <c r="AE42" s="401">
        <f t="shared" si="21"/>
        <v>-301</v>
      </c>
      <c r="AF42" s="350">
        <f t="shared" si="22"/>
        <v>24.75</v>
      </c>
      <c r="AG42" s="372"/>
      <c r="AH42" s="372"/>
    </row>
    <row r="43" spans="1:34" s="60" customFormat="1" ht="26.4" customHeight="1">
      <c r="A43" s="280"/>
      <c r="B43" s="656" t="s">
        <v>585</v>
      </c>
      <c r="C43" s="657"/>
      <c r="D43" s="657"/>
      <c r="E43" s="657"/>
      <c r="F43" s="657"/>
      <c r="G43" s="657"/>
      <c r="H43" s="657"/>
      <c r="I43" s="657"/>
      <c r="J43" s="657"/>
      <c r="K43" s="657"/>
      <c r="L43" s="658"/>
      <c r="M43" s="278"/>
      <c r="N43" s="278"/>
      <c r="O43" s="86"/>
      <c r="P43" s="105"/>
      <c r="Q43" s="328"/>
      <c r="R43" s="401">
        <v>9628</v>
      </c>
      <c r="S43" s="401"/>
      <c r="T43" s="350"/>
      <c r="U43" s="328"/>
      <c r="V43" s="220"/>
      <c r="W43" s="401"/>
      <c r="X43" s="350"/>
      <c r="Y43" s="176"/>
      <c r="Z43" s="176"/>
      <c r="AA43" s="176"/>
      <c r="AB43" s="350"/>
      <c r="AC43" s="423"/>
      <c r="AD43" s="417"/>
      <c r="AE43" s="401"/>
      <c r="AF43" s="350"/>
      <c r="AG43" s="372"/>
      <c r="AH43" s="372"/>
    </row>
    <row r="44" spans="1:34" s="60" customFormat="1" ht="21">
      <c r="A44" s="280">
        <v>3</v>
      </c>
      <c r="B44" s="678" t="s">
        <v>394</v>
      </c>
      <c r="C44" s="679"/>
      <c r="D44" s="679"/>
      <c r="E44" s="679"/>
      <c r="F44" s="679"/>
      <c r="G44" s="679"/>
      <c r="H44" s="679"/>
      <c r="I44" s="679"/>
      <c r="J44" s="679"/>
      <c r="K44" s="679"/>
      <c r="L44" s="680"/>
      <c r="M44" s="278"/>
      <c r="N44" s="278"/>
      <c r="O44" s="86">
        <f t="shared" si="8"/>
        <v>0</v>
      </c>
      <c r="P44" s="105">
        <f t="shared" si="9"/>
        <v>0</v>
      </c>
      <c r="Q44" s="328">
        <f>Q45</f>
        <v>0</v>
      </c>
      <c r="R44" s="401">
        <f>R45</f>
        <v>0</v>
      </c>
      <c r="S44" s="401">
        <f t="shared" si="10"/>
        <v>0</v>
      </c>
      <c r="T44" s="350">
        <f t="shared" si="11"/>
        <v>0</v>
      </c>
      <c r="U44" s="328">
        <f>U45</f>
        <v>20</v>
      </c>
      <c r="V44" s="401">
        <f>V45</f>
        <v>5</v>
      </c>
      <c r="W44" s="401">
        <f t="shared" si="12"/>
        <v>-15</v>
      </c>
      <c r="X44" s="350">
        <f t="shared" si="13"/>
        <v>25</v>
      </c>
      <c r="Y44" s="176"/>
      <c r="Z44" s="176"/>
      <c r="AA44" s="176">
        <f t="shared" si="14"/>
        <v>0</v>
      </c>
      <c r="AB44" s="350">
        <f t="shared" si="15"/>
        <v>0</v>
      </c>
      <c r="AC44" s="423">
        <f t="shared" si="16"/>
        <v>20</v>
      </c>
      <c r="AD44" s="417">
        <f t="shared" si="17"/>
        <v>5</v>
      </c>
      <c r="AE44" s="401">
        <f t="shared" si="18"/>
        <v>-15</v>
      </c>
      <c r="AF44" s="350">
        <f t="shared" si="19"/>
        <v>25</v>
      </c>
      <c r="AG44" s="372"/>
      <c r="AH44" s="372"/>
    </row>
    <row r="45" spans="1:34" s="60" customFormat="1" ht="21">
      <c r="A45" s="280"/>
      <c r="B45" s="656" t="s">
        <v>588</v>
      </c>
      <c r="C45" s="657"/>
      <c r="D45" s="657"/>
      <c r="E45" s="657"/>
      <c r="F45" s="657"/>
      <c r="G45" s="657"/>
      <c r="H45" s="657"/>
      <c r="I45" s="657"/>
      <c r="J45" s="657"/>
      <c r="K45" s="657"/>
      <c r="L45" s="658"/>
      <c r="M45" s="278"/>
      <c r="N45" s="278"/>
      <c r="O45" s="86">
        <f t="shared" si="8"/>
        <v>0</v>
      </c>
      <c r="P45" s="105">
        <f t="shared" si="9"/>
        <v>0</v>
      </c>
      <c r="Q45" s="328"/>
      <c r="R45" s="401"/>
      <c r="S45" s="401">
        <f t="shared" si="10"/>
        <v>0</v>
      </c>
      <c r="T45" s="350">
        <f t="shared" si="11"/>
        <v>0</v>
      </c>
      <c r="U45" s="328">
        <v>20</v>
      </c>
      <c r="V45" s="220">
        <v>5</v>
      </c>
      <c r="W45" s="401">
        <f t="shared" si="12"/>
        <v>-15</v>
      </c>
      <c r="X45" s="350">
        <f t="shared" si="13"/>
        <v>25</v>
      </c>
      <c r="Y45" s="176"/>
      <c r="Z45" s="176"/>
      <c r="AA45" s="176">
        <f t="shared" si="14"/>
        <v>0</v>
      </c>
      <c r="AB45" s="350">
        <f t="shared" si="15"/>
        <v>0</v>
      </c>
      <c r="AC45" s="423">
        <f t="shared" si="16"/>
        <v>20</v>
      </c>
      <c r="AD45" s="417">
        <f t="shared" si="17"/>
        <v>5</v>
      </c>
      <c r="AE45" s="401">
        <f t="shared" si="18"/>
        <v>-15</v>
      </c>
      <c r="AF45" s="350">
        <f t="shared" si="19"/>
        <v>25</v>
      </c>
      <c r="AG45" s="372"/>
      <c r="AH45" s="372"/>
    </row>
    <row r="46" spans="1:34" s="60" customFormat="1" ht="21">
      <c r="A46" s="280">
        <v>4</v>
      </c>
      <c r="B46" s="681" t="s">
        <v>730</v>
      </c>
      <c r="C46" s="682"/>
      <c r="D46" s="682"/>
      <c r="E46" s="682"/>
      <c r="F46" s="682"/>
      <c r="G46" s="682"/>
      <c r="H46" s="682"/>
      <c r="I46" s="682"/>
      <c r="J46" s="682"/>
      <c r="K46" s="682"/>
      <c r="L46" s="683"/>
      <c r="M46" s="278"/>
      <c r="N46" s="278"/>
      <c r="O46" s="86">
        <f t="shared" si="8"/>
        <v>0</v>
      </c>
      <c r="P46" s="105">
        <f t="shared" si="9"/>
        <v>0</v>
      </c>
      <c r="Q46" s="328">
        <f>SUM(Q47:Q49)</f>
        <v>80678.7</v>
      </c>
      <c r="R46" s="401">
        <f>SUM(R47:R49)</f>
        <v>9823</v>
      </c>
      <c r="S46" s="401">
        <f t="shared" si="10"/>
        <v>-70855.7</v>
      </c>
      <c r="T46" s="350">
        <f t="shared" si="11"/>
        <v>12.175456471162773</v>
      </c>
      <c r="U46" s="328">
        <f>SUM(U47:U49)</f>
        <v>0</v>
      </c>
      <c r="V46" s="401">
        <f>SUM(V47:V49)</f>
        <v>295</v>
      </c>
      <c r="W46" s="401">
        <f t="shared" si="12"/>
        <v>295</v>
      </c>
      <c r="X46" s="350">
        <f t="shared" si="13"/>
        <v>0</v>
      </c>
      <c r="Y46" s="176"/>
      <c r="Z46" s="176"/>
      <c r="AA46" s="176">
        <f t="shared" si="14"/>
        <v>0</v>
      </c>
      <c r="AB46" s="350">
        <f t="shared" si="15"/>
        <v>0</v>
      </c>
      <c r="AC46" s="423">
        <f t="shared" si="16"/>
        <v>80678.7</v>
      </c>
      <c r="AD46" s="417">
        <f t="shared" si="17"/>
        <v>10118</v>
      </c>
      <c r="AE46" s="401">
        <f t="shared" si="18"/>
        <v>-70560.7</v>
      </c>
      <c r="AF46" s="350">
        <f t="shared" si="19"/>
        <v>12.541104405499842</v>
      </c>
      <c r="AG46" s="372"/>
      <c r="AH46" s="372"/>
    </row>
    <row r="47" spans="1:34" s="60" customFormat="1" ht="21" customHeight="1">
      <c r="A47" s="280"/>
      <c r="B47" s="698" t="s">
        <v>574</v>
      </c>
      <c r="C47" s="699"/>
      <c r="D47" s="699"/>
      <c r="E47" s="699"/>
      <c r="F47" s="699"/>
      <c r="G47" s="699"/>
      <c r="H47" s="699"/>
      <c r="I47" s="699"/>
      <c r="J47" s="699"/>
      <c r="K47" s="699"/>
      <c r="L47" s="700"/>
      <c r="M47" s="278"/>
      <c r="N47" s="278"/>
      <c r="O47" s="86"/>
      <c r="P47" s="105"/>
      <c r="Q47" s="328"/>
      <c r="R47" s="220"/>
      <c r="S47" s="401"/>
      <c r="T47" s="350"/>
      <c r="U47" s="328"/>
      <c r="V47" s="220">
        <v>295</v>
      </c>
      <c r="W47" s="401"/>
      <c r="X47" s="350"/>
      <c r="Y47" s="176"/>
      <c r="Z47" s="176"/>
      <c r="AA47" s="176"/>
      <c r="AB47" s="350"/>
      <c r="AC47" s="423"/>
      <c r="AD47" s="417">
        <f>SUM(N47,R47,V47,Z47)</f>
        <v>295</v>
      </c>
      <c r="AE47" s="401">
        <f>AD47-AC47</f>
        <v>295</v>
      </c>
      <c r="AF47" s="350">
        <f>IF(AC47=0,0,AD47/AC47*100)</f>
        <v>0</v>
      </c>
      <c r="AG47" s="372"/>
      <c r="AH47" s="372"/>
    </row>
    <row r="48" spans="1:34" s="60" customFormat="1" ht="25.2" customHeight="1">
      <c r="A48" s="280"/>
      <c r="B48" s="695" t="s">
        <v>701</v>
      </c>
      <c r="C48" s="696"/>
      <c r="D48" s="696"/>
      <c r="E48" s="696"/>
      <c r="F48" s="696"/>
      <c r="G48" s="696"/>
      <c r="H48" s="696"/>
      <c r="I48" s="696"/>
      <c r="J48" s="696"/>
      <c r="K48" s="696"/>
      <c r="L48" s="697"/>
      <c r="M48" s="278"/>
      <c r="N48" s="278"/>
      <c r="O48" s="86">
        <f>N48-M48</f>
        <v>0</v>
      </c>
      <c r="P48" s="105">
        <f>IF(M48=0,0,N48/M48*100)</f>
        <v>0</v>
      </c>
      <c r="Q48" s="328">
        <v>78678.7</v>
      </c>
      <c r="R48" s="401">
        <v>9056</v>
      </c>
      <c r="S48" s="401">
        <f>R48-Q48</f>
        <v>-69622.7</v>
      </c>
      <c r="T48" s="350">
        <f>IF(Q48=0,0,R48/Q48*100)</f>
        <v>11.510103751078756</v>
      </c>
      <c r="U48" s="328"/>
      <c r="V48" s="401"/>
      <c r="W48" s="401">
        <f>V48-U48</f>
        <v>0</v>
      </c>
      <c r="X48" s="350">
        <f>IF(U48=0,0,V48/U48*100)</f>
        <v>0</v>
      </c>
      <c r="Y48" s="176"/>
      <c r="Z48" s="176"/>
      <c r="AA48" s="176">
        <f>Z48-Y48</f>
        <v>0</v>
      </c>
      <c r="AB48" s="350">
        <f>IF(Y48=0,0,Z48/Y48*100)</f>
        <v>0</v>
      </c>
      <c r="AC48" s="423">
        <f>SUM(M48,Q48,U48,Y48)</f>
        <v>78678.7</v>
      </c>
      <c r="AD48" s="417">
        <f>SUM(N48,R48,V48,Z48)</f>
        <v>9056</v>
      </c>
      <c r="AE48" s="401">
        <f>AD48-AC48</f>
        <v>-69622.7</v>
      </c>
      <c r="AF48" s="350">
        <f>IF(AC48=0,0,AD48/AC48*100)</f>
        <v>11.510103751078756</v>
      </c>
      <c r="AG48" s="372">
        <v>77278734</v>
      </c>
      <c r="AH48" s="372">
        <f>AG48/1.2</f>
        <v>64398945</v>
      </c>
    </row>
    <row r="49" spans="1:34" s="60" customFormat="1" ht="21" customHeight="1">
      <c r="A49" s="280"/>
      <c r="B49" s="656" t="s">
        <v>579</v>
      </c>
      <c r="C49" s="657"/>
      <c r="D49" s="657"/>
      <c r="E49" s="657"/>
      <c r="F49" s="657"/>
      <c r="G49" s="657"/>
      <c r="H49" s="657"/>
      <c r="I49" s="657"/>
      <c r="J49" s="657"/>
      <c r="K49" s="657"/>
      <c r="L49" s="658"/>
      <c r="M49" s="278"/>
      <c r="N49" s="278"/>
      <c r="O49" s="86">
        <f>N49-M49</f>
        <v>0</v>
      </c>
      <c r="P49" s="105">
        <f>IF(M49=0,0,N49/M49*100)</f>
        <v>0</v>
      </c>
      <c r="Q49" s="328">
        <v>2000</v>
      </c>
      <c r="R49" s="220">
        <v>767</v>
      </c>
      <c r="S49" s="401">
        <f>R49-Q49</f>
        <v>-1233</v>
      </c>
      <c r="T49" s="350">
        <f>IF(Q49=0,0,R49/Q49*100)</f>
        <v>38.35</v>
      </c>
      <c r="U49" s="328"/>
      <c r="V49" s="401"/>
      <c r="W49" s="401">
        <f>V49-U49</f>
        <v>0</v>
      </c>
      <c r="X49" s="350">
        <f>IF(U49=0,0,V49/U49*100)</f>
        <v>0</v>
      </c>
      <c r="Y49" s="176"/>
      <c r="Z49" s="176"/>
      <c r="AA49" s="176">
        <f>Z49-Y49</f>
        <v>0</v>
      </c>
      <c r="AB49" s="350">
        <f>IF(Y49=0,0,Z49/Y49*100)</f>
        <v>0</v>
      </c>
      <c r="AC49" s="423">
        <f>SUM(M49,Q49,U49,Y49)</f>
        <v>2000</v>
      </c>
      <c r="AD49" s="417">
        <f>SUM(N49,R49,V49,Z49)</f>
        <v>767</v>
      </c>
      <c r="AE49" s="401">
        <f>AD49-AC49</f>
        <v>-1233</v>
      </c>
      <c r="AF49" s="350">
        <f>IF(AC49=0,0,AD49/AC49*100)</f>
        <v>38.35</v>
      </c>
      <c r="AG49" s="372">
        <v>2000000</v>
      </c>
      <c r="AH49" s="372">
        <f>AG49/1.2</f>
        <v>1666666.6666666667</v>
      </c>
    </row>
    <row r="50" spans="1:34" s="60" customFormat="1" ht="21">
      <c r="A50" s="280">
        <v>5</v>
      </c>
      <c r="B50" s="681" t="s">
        <v>731</v>
      </c>
      <c r="C50" s="682"/>
      <c r="D50" s="682"/>
      <c r="E50" s="682"/>
      <c r="F50" s="682"/>
      <c r="G50" s="682"/>
      <c r="H50" s="682"/>
      <c r="I50" s="682"/>
      <c r="J50" s="682"/>
      <c r="K50" s="682"/>
      <c r="L50" s="683"/>
      <c r="M50" s="278"/>
      <c r="N50" s="278"/>
      <c r="O50" s="86">
        <f t="shared" si="8"/>
        <v>0</v>
      </c>
      <c r="P50" s="105">
        <f t="shared" si="9"/>
        <v>0</v>
      </c>
      <c r="Q50" s="328">
        <f>SUM(Q51:Q56)</f>
        <v>0</v>
      </c>
      <c r="R50" s="401">
        <f>SUM(R51:R56)</f>
        <v>0</v>
      </c>
      <c r="S50" s="401">
        <f t="shared" si="10"/>
        <v>0</v>
      </c>
      <c r="T50" s="350">
        <f t="shared" si="11"/>
        <v>0</v>
      </c>
      <c r="U50" s="328">
        <f>SUM(U51:U56)</f>
        <v>12578.1</v>
      </c>
      <c r="V50" s="401">
        <f>SUM(V51:V56)</f>
        <v>0</v>
      </c>
      <c r="W50" s="401">
        <f t="shared" si="12"/>
        <v>-12578.1</v>
      </c>
      <c r="X50" s="350">
        <f t="shared" si="13"/>
        <v>0</v>
      </c>
      <c r="Y50" s="176"/>
      <c r="Z50" s="176"/>
      <c r="AA50" s="176">
        <f t="shared" si="14"/>
        <v>0</v>
      </c>
      <c r="AB50" s="350">
        <f t="shared" si="15"/>
        <v>0</v>
      </c>
      <c r="AC50" s="423">
        <f t="shared" si="16"/>
        <v>12578.1</v>
      </c>
      <c r="AD50" s="417">
        <f t="shared" si="17"/>
        <v>0</v>
      </c>
      <c r="AE50" s="401">
        <f t="shared" si="18"/>
        <v>-12578.1</v>
      </c>
      <c r="AF50" s="350">
        <f t="shared" si="19"/>
        <v>0</v>
      </c>
      <c r="AG50" s="372"/>
      <c r="AH50" s="372"/>
    </row>
    <row r="51" spans="1:34" s="60" customFormat="1" ht="21">
      <c r="A51" s="280"/>
      <c r="B51" s="701" t="s">
        <v>589</v>
      </c>
      <c r="C51" s="450"/>
      <c r="D51" s="450"/>
      <c r="E51" s="450"/>
      <c r="F51" s="450"/>
      <c r="G51" s="450"/>
      <c r="H51" s="450"/>
      <c r="I51" s="450"/>
      <c r="J51" s="450"/>
      <c r="K51" s="450"/>
      <c r="L51" s="702"/>
      <c r="M51" s="278"/>
      <c r="N51" s="278"/>
      <c r="O51" s="86">
        <f t="shared" si="8"/>
        <v>0</v>
      </c>
      <c r="P51" s="105">
        <f t="shared" si="9"/>
        <v>0</v>
      </c>
      <c r="Q51" s="328"/>
      <c r="R51" s="401"/>
      <c r="S51" s="401">
        <f t="shared" si="10"/>
        <v>0</v>
      </c>
      <c r="T51" s="350">
        <f t="shared" si="11"/>
        <v>0</v>
      </c>
      <c r="U51" s="423">
        <v>1102</v>
      </c>
      <c r="V51" s="401"/>
      <c r="W51" s="401">
        <f t="shared" si="12"/>
        <v>-1102</v>
      </c>
      <c r="X51" s="350">
        <f t="shared" si="13"/>
        <v>0</v>
      </c>
      <c r="Y51" s="176"/>
      <c r="Z51" s="176"/>
      <c r="AA51" s="176">
        <f t="shared" si="14"/>
        <v>0</v>
      </c>
      <c r="AB51" s="350">
        <f t="shared" si="15"/>
        <v>0</v>
      </c>
      <c r="AC51" s="423">
        <f t="shared" si="16"/>
        <v>1102</v>
      </c>
      <c r="AD51" s="417">
        <f t="shared" si="17"/>
        <v>0</v>
      </c>
      <c r="AE51" s="401">
        <f t="shared" si="18"/>
        <v>-1102</v>
      </c>
      <c r="AF51" s="350">
        <f t="shared" si="19"/>
        <v>0</v>
      </c>
      <c r="AG51" s="372"/>
      <c r="AH51" s="372"/>
    </row>
    <row r="52" spans="1:34" s="60" customFormat="1" ht="21">
      <c r="A52" s="280"/>
      <c r="B52" s="656" t="s">
        <v>590</v>
      </c>
      <c r="C52" s="657"/>
      <c r="D52" s="657"/>
      <c r="E52" s="657"/>
      <c r="F52" s="657"/>
      <c r="G52" s="657"/>
      <c r="H52" s="657"/>
      <c r="I52" s="657"/>
      <c r="J52" s="657"/>
      <c r="K52" s="657"/>
      <c r="L52" s="658"/>
      <c r="M52" s="278"/>
      <c r="N52" s="278"/>
      <c r="O52" s="86">
        <f t="shared" si="8"/>
        <v>0</v>
      </c>
      <c r="P52" s="105">
        <f t="shared" si="9"/>
        <v>0</v>
      </c>
      <c r="Q52" s="328"/>
      <c r="R52" s="401"/>
      <c r="S52" s="401">
        <f t="shared" si="10"/>
        <v>0</v>
      </c>
      <c r="T52" s="350">
        <f t="shared" si="11"/>
        <v>0</v>
      </c>
      <c r="U52" s="423">
        <v>1497.9</v>
      </c>
      <c r="V52" s="401"/>
      <c r="W52" s="401">
        <f t="shared" si="12"/>
        <v>-1497.9</v>
      </c>
      <c r="X52" s="350">
        <f t="shared" si="13"/>
        <v>0</v>
      </c>
      <c r="Y52" s="176"/>
      <c r="Z52" s="176"/>
      <c r="AA52" s="176">
        <f t="shared" si="14"/>
        <v>0</v>
      </c>
      <c r="AB52" s="350">
        <f t="shared" si="15"/>
        <v>0</v>
      </c>
      <c r="AC52" s="423">
        <f t="shared" si="16"/>
        <v>1497.9</v>
      </c>
      <c r="AD52" s="417">
        <f t="shared" si="17"/>
        <v>0</v>
      </c>
      <c r="AE52" s="401">
        <f t="shared" si="18"/>
        <v>-1497.9</v>
      </c>
      <c r="AF52" s="350">
        <f t="shared" si="19"/>
        <v>0</v>
      </c>
      <c r="AG52" s="372"/>
      <c r="AH52" s="372"/>
    </row>
    <row r="53" spans="1:34" s="60" customFormat="1" ht="34.5" customHeight="1">
      <c r="A53" s="280"/>
      <c r="B53" s="656" t="s">
        <v>591</v>
      </c>
      <c r="C53" s="657"/>
      <c r="D53" s="657"/>
      <c r="E53" s="657"/>
      <c r="F53" s="657"/>
      <c r="G53" s="657"/>
      <c r="H53" s="657"/>
      <c r="I53" s="657"/>
      <c r="J53" s="657"/>
      <c r="K53" s="657"/>
      <c r="L53" s="658"/>
      <c r="M53" s="86"/>
      <c r="N53" s="86"/>
      <c r="O53" s="86">
        <f>N53-M53</f>
        <v>0</v>
      </c>
      <c r="P53" s="105">
        <f>IF(M53=0,0,N53/M53*100)</f>
        <v>0</v>
      </c>
      <c r="Q53" s="328"/>
      <c r="R53" s="401"/>
      <c r="S53" s="401">
        <f>R53-Q53</f>
        <v>0</v>
      </c>
      <c r="T53" s="350">
        <f>IF(Q53=0,0,R53/Q53*100)</f>
        <v>0</v>
      </c>
      <c r="U53" s="423">
        <v>1716</v>
      </c>
      <c r="V53" s="417"/>
      <c r="W53" s="401">
        <f>V53-U53</f>
        <v>-1716</v>
      </c>
      <c r="X53" s="350">
        <f>IF(U53=0,0,V53/U53*100)</f>
        <v>0</v>
      </c>
      <c r="Y53" s="350"/>
      <c r="Z53" s="350"/>
      <c r="AA53" s="176">
        <f>Z53-Y53</f>
        <v>0</v>
      </c>
      <c r="AB53" s="350">
        <f>IF(Y53=0,0,Z53/Y53*100)</f>
        <v>0</v>
      </c>
      <c r="AC53" s="423">
        <f>SUM(M53,Q53,U53,Y53)</f>
        <v>1716</v>
      </c>
      <c r="AD53" s="417">
        <f>SUM(N53,R53,V53,Z53)</f>
        <v>0</v>
      </c>
      <c r="AE53" s="401">
        <f>AD53-AC53</f>
        <v>-1716</v>
      </c>
      <c r="AF53" s="350">
        <f>IF(AC53=0,0,AD53/AC53*100)</f>
        <v>0</v>
      </c>
      <c r="AG53" s="372"/>
      <c r="AH53" s="372"/>
    </row>
    <row r="54" spans="1:34" s="60" customFormat="1" ht="45" customHeight="1">
      <c r="A54" s="280"/>
      <c r="B54" s="656" t="s">
        <v>592</v>
      </c>
      <c r="C54" s="657"/>
      <c r="D54" s="657"/>
      <c r="E54" s="657"/>
      <c r="F54" s="657"/>
      <c r="G54" s="657"/>
      <c r="H54" s="657"/>
      <c r="I54" s="657"/>
      <c r="J54" s="657"/>
      <c r="K54" s="657"/>
      <c r="L54" s="658"/>
      <c r="M54" s="86"/>
      <c r="N54" s="86"/>
      <c r="O54" s="86">
        <f t="shared" ref="O54:O57" si="23">N54-M54</f>
        <v>0</v>
      </c>
      <c r="P54" s="105">
        <f t="shared" ref="P54:P57" si="24">IF(M54=0,0,N54/M54*100)</f>
        <v>0</v>
      </c>
      <c r="Q54" s="328"/>
      <c r="R54" s="401"/>
      <c r="S54" s="401">
        <f t="shared" ref="S54:S56" si="25">R54-Q54</f>
        <v>0</v>
      </c>
      <c r="T54" s="350">
        <f t="shared" ref="T54:T57" si="26">IF(Q54=0,0,R54/Q54*100)</f>
        <v>0</v>
      </c>
      <c r="U54" s="423">
        <v>6055</v>
      </c>
      <c r="V54" s="417"/>
      <c r="W54" s="401">
        <f>V54-U54</f>
        <v>-6055</v>
      </c>
      <c r="X54" s="350">
        <f t="shared" ref="X54:X57" si="27">IF(U54=0,0,V54/U54*100)</f>
        <v>0</v>
      </c>
      <c r="Y54" s="350"/>
      <c r="Z54" s="350"/>
      <c r="AA54" s="176">
        <f t="shared" ref="AA54:AA57" si="28">Z54-Y54</f>
        <v>0</v>
      </c>
      <c r="AB54" s="350">
        <f t="shared" ref="AB54:AB57" si="29">IF(Y54=0,0,Z54/Y54*100)</f>
        <v>0</v>
      </c>
      <c r="AC54" s="423">
        <f t="shared" ref="AC54:AC56" si="30">SUM(M54,Q54,U54,Y54)</f>
        <v>6055</v>
      </c>
      <c r="AD54" s="417">
        <f t="shared" ref="AD54:AD56" si="31">SUM(N54,R54,V54,Z54)</f>
        <v>0</v>
      </c>
      <c r="AE54" s="401">
        <f t="shared" ref="AE54:AE57" si="32">AD54-AC54</f>
        <v>-6055</v>
      </c>
      <c r="AF54" s="350">
        <f t="shared" ref="AF54:AF57" si="33">IF(AC54=0,0,AD54/AC54*100)</f>
        <v>0</v>
      </c>
      <c r="AG54" s="372"/>
      <c r="AH54" s="372"/>
    </row>
    <row r="55" spans="1:34" s="60" customFormat="1" ht="45" customHeight="1">
      <c r="A55" s="280"/>
      <c r="B55" s="656" t="s">
        <v>593</v>
      </c>
      <c r="C55" s="657"/>
      <c r="D55" s="657"/>
      <c r="E55" s="657"/>
      <c r="F55" s="657"/>
      <c r="G55" s="657"/>
      <c r="H55" s="657"/>
      <c r="I55" s="657"/>
      <c r="J55" s="657"/>
      <c r="K55" s="657"/>
      <c r="L55" s="658"/>
      <c r="M55" s="86"/>
      <c r="N55" s="86"/>
      <c r="O55" s="86">
        <f t="shared" si="23"/>
        <v>0</v>
      </c>
      <c r="P55" s="105">
        <f t="shared" si="24"/>
        <v>0</v>
      </c>
      <c r="Q55" s="328"/>
      <c r="R55" s="401"/>
      <c r="S55" s="401">
        <f t="shared" si="25"/>
        <v>0</v>
      </c>
      <c r="T55" s="350">
        <f t="shared" si="26"/>
        <v>0</v>
      </c>
      <c r="U55" s="423">
        <v>1062.2</v>
      </c>
      <c r="V55" s="417"/>
      <c r="W55" s="401">
        <f t="shared" ref="W55:W57" si="34">V55-U55</f>
        <v>-1062.2</v>
      </c>
      <c r="X55" s="350">
        <f t="shared" si="27"/>
        <v>0</v>
      </c>
      <c r="Y55" s="350"/>
      <c r="Z55" s="350"/>
      <c r="AA55" s="176">
        <f t="shared" si="28"/>
        <v>0</v>
      </c>
      <c r="AB55" s="350">
        <f t="shared" si="29"/>
        <v>0</v>
      </c>
      <c r="AC55" s="423">
        <f t="shared" si="30"/>
        <v>1062.2</v>
      </c>
      <c r="AD55" s="417">
        <f t="shared" si="31"/>
        <v>0</v>
      </c>
      <c r="AE55" s="401">
        <f t="shared" si="32"/>
        <v>-1062.2</v>
      </c>
      <c r="AF55" s="350">
        <f t="shared" si="33"/>
        <v>0</v>
      </c>
      <c r="AG55" s="372"/>
      <c r="AH55" s="372"/>
    </row>
    <row r="56" spans="1:34" s="60" customFormat="1" ht="47.4" customHeight="1">
      <c r="A56" s="280"/>
      <c r="B56" s="656" t="s">
        <v>594</v>
      </c>
      <c r="C56" s="657"/>
      <c r="D56" s="657"/>
      <c r="E56" s="657"/>
      <c r="F56" s="657"/>
      <c r="G56" s="657"/>
      <c r="H56" s="657"/>
      <c r="I56" s="657"/>
      <c r="J56" s="657"/>
      <c r="K56" s="657"/>
      <c r="L56" s="658"/>
      <c r="M56" s="86"/>
      <c r="N56" s="86"/>
      <c r="O56" s="86">
        <f t="shared" si="23"/>
        <v>0</v>
      </c>
      <c r="P56" s="105">
        <f t="shared" si="24"/>
        <v>0</v>
      </c>
      <c r="Q56" s="328"/>
      <c r="R56" s="421"/>
      <c r="S56" s="401">
        <f t="shared" si="25"/>
        <v>0</v>
      </c>
      <c r="T56" s="350">
        <f t="shared" si="26"/>
        <v>0</v>
      </c>
      <c r="U56" s="423">
        <v>1145</v>
      </c>
      <c r="V56" s="401"/>
      <c r="W56" s="401">
        <f t="shared" si="34"/>
        <v>-1145</v>
      </c>
      <c r="X56" s="350">
        <f t="shared" si="27"/>
        <v>0</v>
      </c>
      <c r="Y56" s="176"/>
      <c r="Z56" s="176"/>
      <c r="AA56" s="176">
        <f t="shared" si="28"/>
        <v>0</v>
      </c>
      <c r="AB56" s="350">
        <f t="shared" si="29"/>
        <v>0</v>
      </c>
      <c r="AC56" s="423">
        <f t="shared" si="30"/>
        <v>1145</v>
      </c>
      <c r="AD56" s="417">
        <f t="shared" si="31"/>
        <v>0</v>
      </c>
      <c r="AE56" s="401">
        <f t="shared" si="32"/>
        <v>-1145</v>
      </c>
      <c r="AF56" s="350">
        <f t="shared" si="33"/>
        <v>0</v>
      </c>
      <c r="AG56" s="372"/>
      <c r="AH56" s="372"/>
    </row>
    <row r="57" spans="1:34" s="60" customFormat="1" ht="33.75" customHeight="1">
      <c r="A57" s="690" t="s">
        <v>50</v>
      </c>
      <c r="B57" s="691"/>
      <c r="C57" s="691"/>
      <c r="D57" s="691"/>
      <c r="E57" s="691"/>
      <c r="F57" s="691"/>
      <c r="G57" s="691"/>
      <c r="H57" s="691"/>
      <c r="I57" s="691"/>
      <c r="J57" s="691"/>
      <c r="K57" s="691"/>
      <c r="L57" s="692"/>
      <c r="M57" s="100">
        <f t="shared" ref="M57" si="35">SUM(M53:M56)</f>
        <v>0</v>
      </c>
      <c r="N57" s="100">
        <f t="shared" ref="N57" si="36">SUM(N53:N56)</f>
        <v>0</v>
      </c>
      <c r="O57" s="100">
        <f t="shared" si="23"/>
        <v>0</v>
      </c>
      <c r="P57" s="100">
        <f t="shared" si="24"/>
        <v>0</v>
      </c>
      <c r="Q57" s="338">
        <f>Q32+Q46+Q33+Q44+Q50</f>
        <v>113614.6</v>
      </c>
      <c r="R57" s="221">
        <f>R32+R46+R33+R44+R50</f>
        <v>19451</v>
      </c>
      <c r="S57" s="221">
        <f>R57-Q57</f>
        <v>-94163.6</v>
      </c>
      <c r="T57" s="351">
        <f t="shared" si="26"/>
        <v>17.12015885282349</v>
      </c>
      <c r="U57" s="338">
        <f>U32+U46+U33+U44+U50</f>
        <v>12998.1</v>
      </c>
      <c r="V57" s="221">
        <f>V32+V46+V33+V44+V50</f>
        <v>2511</v>
      </c>
      <c r="W57" s="221">
        <f t="shared" si="34"/>
        <v>-10487.1</v>
      </c>
      <c r="X57" s="351">
        <f t="shared" si="27"/>
        <v>19.318208045791309</v>
      </c>
      <c r="Y57" s="351">
        <f>Y32+Y46+Y33+Y44+Y50</f>
        <v>0</v>
      </c>
      <c r="Z57" s="351">
        <f>Z32+Z46+Z33+Z44+Z50</f>
        <v>0</v>
      </c>
      <c r="AA57" s="351">
        <f t="shared" si="28"/>
        <v>0</v>
      </c>
      <c r="AB57" s="351">
        <f t="shared" si="29"/>
        <v>0</v>
      </c>
      <c r="AC57" s="338">
        <f>AC32+AC46+AC33+AC44+AC50</f>
        <v>126612.70000000001</v>
      </c>
      <c r="AD57" s="221">
        <f>AD32+AD46+AD33+AD44+AD50</f>
        <v>21962</v>
      </c>
      <c r="AE57" s="221">
        <f t="shared" si="32"/>
        <v>-104650.70000000001</v>
      </c>
      <c r="AF57" s="351">
        <f t="shared" si="33"/>
        <v>17.345811281174793</v>
      </c>
      <c r="AG57" s="372">
        <f>SUM(AG32:AG56)</f>
        <v>113614600</v>
      </c>
      <c r="AH57" s="372">
        <f>SUM(AH33:AH56)</f>
        <v>94678833.333333343</v>
      </c>
    </row>
    <row r="58" spans="1:34" s="60" customFormat="1" ht="34.5" customHeight="1">
      <c r="A58" s="687" t="s">
        <v>51</v>
      </c>
      <c r="B58" s="688"/>
      <c r="C58" s="688"/>
      <c r="D58" s="688"/>
      <c r="E58" s="688"/>
      <c r="F58" s="688"/>
      <c r="G58" s="688"/>
      <c r="H58" s="688"/>
      <c r="I58" s="688"/>
      <c r="J58" s="688"/>
      <c r="K58" s="688"/>
      <c r="L58" s="689"/>
      <c r="M58" s="86">
        <f>IF($AC$57=0,0,M57/$AC$57*100)</f>
        <v>0</v>
      </c>
      <c r="N58" s="86">
        <f>IF($AD$57=0,0,N57/$AD$57*100)</f>
        <v>0</v>
      </c>
      <c r="O58" s="86"/>
      <c r="P58" s="86"/>
      <c r="Q58" s="353">
        <f>IF($AC$57=0,0,Q57/$AC$57*100)</f>
        <v>89.733968235413968</v>
      </c>
      <c r="R58" s="176">
        <f>IF($AD$57=0,0,R57/$AD$57*100)</f>
        <v>88.566615062380478</v>
      </c>
      <c r="S58" s="176"/>
      <c r="T58" s="176"/>
      <c r="U58" s="353">
        <f>IF($AC$57=0,0,U57/$AC$57*100)</f>
        <v>10.266031764586016</v>
      </c>
      <c r="V58" s="176">
        <f>IF($AD$57=0,0,V57/$AD$57*100)</f>
        <v>11.433384937619524</v>
      </c>
      <c r="W58" s="176"/>
      <c r="X58" s="176"/>
      <c r="Y58" s="176">
        <f>IF($AC$57=0,0,Y57/$AC$57*100)</f>
        <v>0</v>
      </c>
      <c r="Z58" s="176">
        <f>IF($AD$57=0,0,Z57/$AD$57*100)</f>
        <v>0</v>
      </c>
      <c r="AA58" s="176"/>
      <c r="AB58" s="176"/>
      <c r="AC58" s="353">
        <f>SUM(M58,Q58,U58,Y58)</f>
        <v>99.999999999999986</v>
      </c>
      <c r="AD58" s="176">
        <f>SUM(N58,R58,V58,Z58)</f>
        <v>100</v>
      </c>
      <c r="AE58" s="176"/>
      <c r="AF58" s="176"/>
      <c r="AG58" s="372"/>
      <c r="AH58" s="372"/>
    </row>
    <row r="59" spans="1:34" ht="15" customHeight="1">
      <c r="A59" s="76"/>
      <c r="B59" s="76"/>
      <c r="C59" s="76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373"/>
    </row>
    <row r="60" spans="1:34" ht="15" customHeight="1">
      <c r="A60" s="76"/>
      <c r="B60" s="76"/>
      <c r="C60" s="76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60"/>
      <c r="X60" s="60"/>
      <c r="Y60" s="60"/>
      <c r="Z60" s="60"/>
      <c r="AA60" s="60"/>
      <c r="AB60" s="60"/>
      <c r="AC60" s="60"/>
      <c r="AD60" s="60"/>
      <c r="AE60" s="60"/>
      <c r="AF60" s="60"/>
    </row>
    <row r="61" spans="1:34" s="34" customFormat="1" ht="31.5" customHeight="1">
      <c r="A61" s="72"/>
      <c r="B61" s="72"/>
      <c r="C61" s="72" t="s">
        <v>341</v>
      </c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371"/>
      <c r="AH61" s="371"/>
    </row>
    <row r="62" spans="1:34" s="35" customFormat="1" ht="21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78"/>
      <c r="L62" s="60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636" t="s">
        <v>318</v>
      </c>
      <c r="AE62" s="636"/>
      <c r="AF62" s="636"/>
      <c r="AG62" s="374"/>
      <c r="AH62" s="374"/>
    </row>
    <row r="63" spans="1:34" s="36" customFormat="1" ht="34.5" customHeight="1">
      <c r="A63" s="468" t="s">
        <v>47</v>
      </c>
      <c r="B63" s="585" t="s">
        <v>174</v>
      </c>
      <c r="C63" s="587"/>
      <c r="D63" s="469" t="s">
        <v>176</v>
      </c>
      <c r="E63" s="469"/>
      <c r="F63" s="469" t="s">
        <v>125</v>
      </c>
      <c r="G63" s="469"/>
      <c r="H63" s="469" t="s">
        <v>278</v>
      </c>
      <c r="I63" s="469"/>
      <c r="J63" s="469" t="s">
        <v>279</v>
      </c>
      <c r="K63" s="469"/>
      <c r="L63" s="469" t="s">
        <v>427</v>
      </c>
      <c r="M63" s="469"/>
      <c r="N63" s="469"/>
      <c r="O63" s="469"/>
      <c r="P63" s="469"/>
      <c r="Q63" s="469"/>
      <c r="R63" s="469"/>
      <c r="S63" s="469"/>
      <c r="T63" s="469"/>
      <c r="U63" s="469"/>
      <c r="V63" s="469" t="s">
        <v>175</v>
      </c>
      <c r="W63" s="469"/>
      <c r="X63" s="469"/>
      <c r="Y63" s="469"/>
      <c r="Z63" s="469"/>
      <c r="AA63" s="469" t="s">
        <v>281</v>
      </c>
      <c r="AB63" s="469"/>
      <c r="AC63" s="469"/>
      <c r="AD63" s="469"/>
      <c r="AE63" s="469"/>
      <c r="AF63" s="469"/>
      <c r="AG63" s="375"/>
      <c r="AH63" s="375"/>
    </row>
    <row r="64" spans="1:34" s="36" customFormat="1" ht="52.5" customHeight="1">
      <c r="A64" s="468"/>
      <c r="B64" s="654"/>
      <c r="C64" s="655"/>
      <c r="D64" s="469"/>
      <c r="E64" s="469"/>
      <c r="F64" s="469"/>
      <c r="G64" s="469"/>
      <c r="H64" s="469"/>
      <c r="I64" s="469"/>
      <c r="J64" s="469"/>
      <c r="K64" s="469"/>
      <c r="L64" s="469" t="s">
        <v>160</v>
      </c>
      <c r="M64" s="469"/>
      <c r="N64" s="469" t="s">
        <v>163</v>
      </c>
      <c r="O64" s="469"/>
      <c r="P64" s="469" t="s">
        <v>164</v>
      </c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  <c r="AB64" s="469"/>
      <c r="AC64" s="469"/>
      <c r="AD64" s="469"/>
      <c r="AE64" s="469"/>
      <c r="AF64" s="469"/>
      <c r="AG64" s="375"/>
      <c r="AH64" s="375"/>
    </row>
    <row r="65" spans="1:34" s="37" customFormat="1" ht="100.5" customHeight="1">
      <c r="A65" s="468"/>
      <c r="B65" s="588"/>
      <c r="C65" s="590"/>
      <c r="D65" s="469"/>
      <c r="E65" s="469"/>
      <c r="F65" s="469"/>
      <c r="G65" s="469"/>
      <c r="H65" s="469"/>
      <c r="I65" s="469"/>
      <c r="J65" s="469"/>
      <c r="K65" s="469"/>
      <c r="L65" s="469"/>
      <c r="M65" s="469"/>
      <c r="N65" s="469"/>
      <c r="O65" s="469"/>
      <c r="P65" s="469" t="s">
        <v>161</v>
      </c>
      <c r="Q65" s="469"/>
      <c r="R65" s="469" t="s">
        <v>162</v>
      </c>
      <c r="S65" s="469"/>
      <c r="T65" s="469" t="s">
        <v>414</v>
      </c>
      <c r="U65" s="469"/>
      <c r="V65" s="469"/>
      <c r="W65" s="469"/>
      <c r="X65" s="469"/>
      <c r="Y65" s="469"/>
      <c r="Z65" s="469"/>
      <c r="AA65" s="469"/>
      <c r="AB65" s="469"/>
      <c r="AC65" s="469"/>
      <c r="AD65" s="469"/>
      <c r="AE65" s="469"/>
      <c r="AF65" s="469"/>
      <c r="AG65" s="376"/>
      <c r="AH65" s="376"/>
    </row>
    <row r="66" spans="1:34" s="36" customFormat="1" ht="24" customHeight="1">
      <c r="A66" s="62">
        <v>1</v>
      </c>
      <c r="B66" s="547">
        <v>2</v>
      </c>
      <c r="C66" s="548"/>
      <c r="D66" s="469">
        <v>3</v>
      </c>
      <c r="E66" s="469"/>
      <c r="F66" s="469">
        <v>4</v>
      </c>
      <c r="G66" s="469"/>
      <c r="H66" s="469">
        <v>5</v>
      </c>
      <c r="I66" s="469"/>
      <c r="J66" s="469">
        <v>6</v>
      </c>
      <c r="K66" s="469"/>
      <c r="L66" s="547">
        <v>7</v>
      </c>
      <c r="M66" s="548"/>
      <c r="N66" s="547">
        <v>8</v>
      </c>
      <c r="O66" s="548"/>
      <c r="P66" s="469">
        <v>9</v>
      </c>
      <c r="Q66" s="469"/>
      <c r="R66" s="468">
        <v>10</v>
      </c>
      <c r="S66" s="468"/>
      <c r="T66" s="469">
        <v>11</v>
      </c>
      <c r="U66" s="469"/>
      <c r="V66" s="469">
        <v>12</v>
      </c>
      <c r="W66" s="469"/>
      <c r="X66" s="469"/>
      <c r="Y66" s="469"/>
      <c r="Z66" s="469"/>
      <c r="AA66" s="469">
        <v>13</v>
      </c>
      <c r="AB66" s="469"/>
      <c r="AC66" s="469"/>
      <c r="AD66" s="469"/>
      <c r="AE66" s="469"/>
      <c r="AF66" s="469"/>
      <c r="AG66" s="375"/>
      <c r="AH66" s="375"/>
    </row>
    <row r="67" spans="1:34" s="36" customFormat="1" ht="102" customHeight="1">
      <c r="A67" s="62">
        <v>1</v>
      </c>
      <c r="B67" s="693"/>
      <c r="C67" s="694"/>
      <c r="D67" s="469"/>
      <c r="E67" s="469"/>
      <c r="F67" s="570"/>
      <c r="G67" s="570"/>
      <c r="H67" s="570" t="s">
        <v>417</v>
      </c>
      <c r="I67" s="570"/>
      <c r="J67" s="570"/>
      <c r="K67" s="570"/>
      <c r="L67" s="558"/>
      <c r="M67" s="559"/>
      <c r="N67" s="558"/>
      <c r="O67" s="559"/>
      <c r="P67" s="570"/>
      <c r="Q67" s="570"/>
      <c r="R67" s="570"/>
      <c r="S67" s="570"/>
      <c r="T67" s="570"/>
      <c r="U67" s="570"/>
      <c r="V67" s="673"/>
      <c r="W67" s="673"/>
      <c r="X67" s="673"/>
      <c r="Y67" s="673"/>
      <c r="Z67" s="673"/>
      <c r="AA67" s="614"/>
      <c r="AB67" s="614"/>
      <c r="AC67" s="614"/>
      <c r="AD67" s="614"/>
      <c r="AE67" s="614"/>
      <c r="AF67" s="614"/>
      <c r="AG67" s="375"/>
      <c r="AH67" s="375"/>
    </row>
    <row r="68" spans="1:34" s="36" customFormat="1" ht="9.75" hidden="1" customHeight="1">
      <c r="A68" s="79"/>
      <c r="B68" s="632"/>
      <c r="C68" s="633"/>
      <c r="D68" s="469"/>
      <c r="E68" s="469"/>
      <c r="F68" s="570"/>
      <c r="G68" s="570"/>
      <c r="H68" s="570"/>
      <c r="I68" s="570"/>
      <c r="J68" s="570"/>
      <c r="K68" s="570"/>
      <c r="L68" s="558"/>
      <c r="M68" s="559"/>
      <c r="N68" s="558"/>
      <c r="O68" s="559"/>
      <c r="P68" s="570"/>
      <c r="Q68" s="570"/>
      <c r="R68" s="570"/>
      <c r="S68" s="570"/>
      <c r="T68" s="570"/>
      <c r="U68" s="570"/>
      <c r="V68" s="673"/>
      <c r="W68" s="673"/>
      <c r="X68" s="673"/>
      <c r="Y68" s="673"/>
      <c r="Z68" s="673"/>
      <c r="AA68" s="614"/>
      <c r="AB68" s="614"/>
      <c r="AC68" s="614"/>
      <c r="AD68" s="614"/>
      <c r="AE68" s="614"/>
      <c r="AF68" s="614"/>
      <c r="AG68" s="375"/>
      <c r="AH68" s="375"/>
    </row>
    <row r="69" spans="1:34" s="36" customFormat="1" ht="37.5" customHeight="1">
      <c r="A69" s="684" t="s">
        <v>50</v>
      </c>
      <c r="B69" s="685"/>
      <c r="C69" s="685"/>
      <c r="D69" s="685"/>
      <c r="E69" s="686"/>
      <c r="F69" s="596">
        <f>SUM(F67:F68)</f>
        <v>0</v>
      </c>
      <c r="G69" s="596"/>
      <c r="H69" s="596">
        <f>SUM(H67:H68)</f>
        <v>0</v>
      </c>
      <c r="I69" s="596"/>
      <c r="J69" s="596">
        <f>SUM(J67:J68)</f>
        <v>0</v>
      </c>
      <c r="K69" s="596"/>
      <c r="L69" s="596"/>
      <c r="M69" s="596"/>
      <c r="N69" s="596"/>
      <c r="O69" s="596"/>
      <c r="P69" s="596"/>
      <c r="Q69" s="596"/>
      <c r="R69" s="596"/>
      <c r="S69" s="596"/>
      <c r="T69" s="596"/>
      <c r="U69" s="596"/>
      <c r="V69" s="675"/>
      <c r="W69" s="675"/>
      <c r="X69" s="675"/>
      <c r="Y69" s="675"/>
      <c r="Z69" s="675"/>
      <c r="AA69" s="601"/>
      <c r="AB69" s="601"/>
      <c r="AC69" s="601"/>
      <c r="AD69" s="601"/>
      <c r="AE69" s="601"/>
      <c r="AF69" s="601"/>
      <c r="AG69" s="375"/>
      <c r="AH69" s="375"/>
    </row>
    <row r="70" spans="1:34" ht="15" customHeight="1">
      <c r="A70" s="76"/>
      <c r="B70" s="76"/>
      <c r="C70" s="76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60"/>
      <c r="X70" s="60"/>
      <c r="Y70" s="60"/>
      <c r="Z70" s="60"/>
      <c r="AA70" s="60"/>
      <c r="AB70" s="60"/>
      <c r="AC70" s="60"/>
      <c r="AD70" s="60"/>
      <c r="AE70" s="60"/>
      <c r="AF70" s="60"/>
    </row>
    <row r="71" spans="1:34" ht="15" customHeight="1">
      <c r="A71" s="76"/>
      <c r="B71" s="76"/>
      <c r="C71" s="76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60"/>
      <c r="X71" s="60"/>
      <c r="Y71" s="60"/>
      <c r="Z71" s="60"/>
      <c r="AA71" s="60"/>
      <c r="AB71" s="60"/>
      <c r="AC71" s="60"/>
      <c r="AD71" s="60"/>
      <c r="AE71" s="60"/>
      <c r="AF71" s="60"/>
    </row>
    <row r="72" spans="1:34" ht="15" customHeight="1">
      <c r="A72" s="76"/>
      <c r="B72" s="76"/>
      <c r="C72" s="76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60"/>
      <c r="X72" s="60"/>
      <c r="Y72" s="60"/>
      <c r="Z72" s="60"/>
      <c r="AA72" s="60"/>
      <c r="AB72" s="60"/>
      <c r="AC72" s="60"/>
      <c r="AD72" s="60"/>
      <c r="AE72" s="60"/>
      <c r="AF72" s="60"/>
    </row>
    <row r="73" spans="1:34" ht="114" customHeight="1">
      <c r="A73" s="76"/>
      <c r="B73" s="76"/>
      <c r="C73" s="76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60"/>
      <c r="X73" s="60"/>
      <c r="Y73" s="60"/>
      <c r="Z73" s="60"/>
      <c r="AA73" s="60"/>
      <c r="AB73" s="60"/>
      <c r="AC73" s="60"/>
      <c r="AD73" s="60"/>
      <c r="AE73" s="60"/>
      <c r="AF73" s="60"/>
    </row>
    <row r="74" spans="1:34" s="437" customFormat="1" ht="32.25" customHeight="1">
      <c r="A74" s="435"/>
      <c r="B74" s="704" t="s">
        <v>792</v>
      </c>
      <c r="C74" s="704"/>
      <c r="D74" s="704"/>
      <c r="E74" s="704"/>
      <c r="F74" s="704"/>
      <c r="G74" s="704"/>
      <c r="H74" s="704"/>
      <c r="I74" s="704"/>
      <c r="J74" s="436"/>
      <c r="K74" s="436"/>
      <c r="L74" s="436"/>
      <c r="M74" s="672" t="s">
        <v>159</v>
      </c>
      <c r="N74" s="672"/>
      <c r="O74" s="672"/>
      <c r="P74" s="672"/>
      <c r="Q74" s="672"/>
      <c r="R74" s="436"/>
      <c r="S74" s="436"/>
      <c r="T74" s="436"/>
      <c r="U74" s="436"/>
      <c r="V74" s="436"/>
      <c r="W74" s="674" t="s">
        <v>570</v>
      </c>
      <c r="X74" s="674"/>
      <c r="Y74" s="674"/>
      <c r="Z74" s="674"/>
      <c r="AA74" s="674"/>
      <c r="AG74" s="438"/>
      <c r="AH74" s="438"/>
    </row>
    <row r="75" spans="1:34" s="258" customFormat="1" ht="33.75" customHeight="1">
      <c r="B75" s="452"/>
      <c r="C75" s="452"/>
      <c r="D75" s="452"/>
      <c r="E75" s="452"/>
      <c r="F75" s="452"/>
      <c r="G75" s="452"/>
      <c r="H75" s="143"/>
      <c r="I75" s="143"/>
      <c r="J75" s="143"/>
      <c r="K75" s="143"/>
      <c r="L75" s="143"/>
      <c r="M75" s="452"/>
      <c r="N75" s="452"/>
      <c r="O75" s="452"/>
      <c r="P75" s="452"/>
      <c r="Q75" s="452"/>
      <c r="V75" s="124"/>
      <c r="W75" s="452"/>
      <c r="X75" s="452"/>
      <c r="Y75" s="452"/>
      <c r="Z75" s="452"/>
      <c r="AA75" s="452"/>
      <c r="AG75" s="377"/>
      <c r="AH75" s="377"/>
    </row>
    <row r="76" spans="1:34" s="180" customFormat="1">
      <c r="AG76" s="378"/>
      <c r="AH76" s="378"/>
    </row>
    <row r="77" spans="1:34"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</row>
    <row r="78" spans="1:34" s="635" customFormat="1" ht="13.2">
      <c r="A78" s="634" t="s">
        <v>325</v>
      </c>
    </row>
    <row r="79" spans="1:34"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</row>
    <row r="80" spans="1:34">
      <c r="C80" s="25"/>
    </row>
    <row r="83" spans="3:3">
      <c r="C83" s="39"/>
    </row>
    <row r="84" spans="3:3">
      <c r="C84" s="39"/>
    </row>
    <row r="85" spans="3:3">
      <c r="C85" s="39"/>
    </row>
    <row r="86" spans="3:3">
      <c r="C86" s="39"/>
    </row>
    <row r="87" spans="3:3">
      <c r="C87" s="39"/>
    </row>
    <row r="88" spans="3:3">
      <c r="C88" s="39"/>
    </row>
    <row r="89" spans="3:3">
      <c r="C89" s="39"/>
    </row>
  </sheetData>
  <sortState ref="A47:AF50">
    <sortCondition ref="B47:B50"/>
  </sortState>
  <mergeCells count="230">
    <mergeCell ref="B34:L34"/>
    <mergeCell ref="B63:C65"/>
    <mergeCell ref="L63:U63"/>
    <mergeCell ref="D10:F10"/>
    <mergeCell ref="B21:C21"/>
    <mergeCell ref="D20:G20"/>
    <mergeCell ref="R9:T9"/>
    <mergeCell ref="R18:T19"/>
    <mergeCell ref="R21:T21"/>
    <mergeCell ref="R11:T11"/>
    <mergeCell ref="X7:Z7"/>
    <mergeCell ref="X8:Z8"/>
    <mergeCell ref="X9:Z9"/>
    <mergeCell ref="U7:W7"/>
    <mergeCell ref="U8:W8"/>
    <mergeCell ref="U9:W9"/>
    <mergeCell ref="U12:W12"/>
    <mergeCell ref="X11:Z11"/>
    <mergeCell ref="B33:L33"/>
    <mergeCell ref="D67:E67"/>
    <mergeCell ref="B67:C67"/>
    <mergeCell ref="B55:L55"/>
    <mergeCell ref="J66:K66"/>
    <mergeCell ref="U23:W23"/>
    <mergeCell ref="B36:L36"/>
    <mergeCell ref="H63:I65"/>
    <mergeCell ref="H66:I66"/>
    <mergeCell ref="B39:L39"/>
    <mergeCell ref="B40:L40"/>
    <mergeCell ref="B41:L41"/>
    <mergeCell ref="B43:L43"/>
    <mergeCell ref="B48:L48"/>
    <mergeCell ref="B46:L46"/>
    <mergeCell ref="B47:L47"/>
    <mergeCell ref="B49:L49"/>
    <mergeCell ref="B50:L50"/>
    <mergeCell ref="B51:L51"/>
    <mergeCell ref="B35:L35"/>
    <mergeCell ref="B31:L31"/>
    <mergeCell ref="B37:L37"/>
    <mergeCell ref="B38:L38"/>
    <mergeCell ref="B52:L52"/>
    <mergeCell ref="B54:L54"/>
    <mergeCell ref="A58:L58"/>
    <mergeCell ref="A63:A65"/>
    <mergeCell ref="J63:K65"/>
    <mergeCell ref="L66:M66"/>
    <mergeCell ref="B53:L53"/>
    <mergeCell ref="D66:E66"/>
    <mergeCell ref="A57:L57"/>
    <mergeCell ref="B56:L56"/>
    <mergeCell ref="B66:C66"/>
    <mergeCell ref="V67:Z67"/>
    <mergeCell ref="N66:O66"/>
    <mergeCell ref="R20:T20"/>
    <mergeCell ref="P66:Q66"/>
    <mergeCell ref="V66:Z66"/>
    <mergeCell ref="T65:U65"/>
    <mergeCell ref="R23:T23"/>
    <mergeCell ref="H21:O21"/>
    <mergeCell ref="P64:U64"/>
    <mergeCell ref="X21:Z21"/>
    <mergeCell ref="Y29:Y30"/>
    <mergeCell ref="Z29:Z30"/>
    <mergeCell ref="R22:T22"/>
    <mergeCell ref="P21:Q21"/>
    <mergeCell ref="P22:Q22"/>
    <mergeCell ref="Q29:Q30"/>
    <mergeCell ref="B42:L42"/>
    <mergeCell ref="B44:L44"/>
    <mergeCell ref="B45:L45"/>
    <mergeCell ref="B32:L32"/>
    <mergeCell ref="U29:U30"/>
    <mergeCell ref="L64:M65"/>
    <mergeCell ref="R66:S66"/>
    <mergeCell ref="T66:U66"/>
    <mergeCell ref="B75:G75"/>
    <mergeCell ref="W75:AA75"/>
    <mergeCell ref="M74:Q74"/>
    <mergeCell ref="M75:Q75"/>
    <mergeCell ref="V68:Z68"/>
    <mergeCell ref="R69:S69"/>
    <mergeCell ref="H69:I69"/>
    <mergeCell ref="L69:M69"/>
    <mergeCell ref="N69:O69"/>
    <mergeCell ref="W74:AA74"/>
    <mergeCell ref="T69:U69"/>
    <mergeCell ref="V69:Z69"/>
    <mergeCell ref="J69:K69"/>
    <mergeCell ref="P69:Q69"/>
    <mergeCell ref="F69:G69"/>
    <mergeCell ref="L68:M68"/>
    <mergeCell ref="A69:E69"/>
    <mergeCell ref="T68:U68"/>
    <mergeCell ref="P68:Q68"/>
    <mergeCell ref="N68:O68"/>
    <mergeCell ref="B74:I74"/>
    <mergeCell ref="B6:C6"/>
    <mergeCell ref="B10:C10"/>
    <mergeCell ref="AD4:AF5"/>
    <mergeCell ref="AA4:AC5"/>
    <mergeCell ref="R4:Z4"/>
    <mergeCell ref="R5:T5"/>
    <mergeCell ref="G11:Q11"/>
    <mergeCell ref="U11:W11"/>
    <mergeCell ref="X10:Z10"/>
    <mergeCell ref="AD6:AF6"/>
    <mergeCell ref="AA10:AC10"/>
    <mergeCell ref="AA6:AC6"/>
    <mergeCell ref="B9:C9"/>
    <mergeCell ref="B8:C8"/>
    <mergeCell ref="B7:C7"/>
    <mergeCell ref="D7:F7"/>
    <mergeCell ref="D8:F8"/>
    <mergeCell ref="D9:F9"/>
    <mergeCell ref="G7:Q7"/>
    <mergeCell ref="G8:Q8"/>
    <mergeCell ref="G9:Q9"/>
    <mergeCell ref="R7:T7"/>
    <mergeCell ref="R8:T8"/>
    <mergeCell ref="R10:T10"/>
    <mergeCell ref="AA20:AC20"/>
    <mergeCell ref="AA21:AC21"/>
    <mergeCell ref="A4:A5"/>
    <mergeCell ref="U10:W10"/>
    <mergeCell ref="U5:W5"/>
    <mergeCell ref="O29:O30"/>
    <mergeCell ref="B11:C11"/>
    <mergeCell ref="D11:F11"/>
    <mergeCell ref="D17:G19"/>
    <mergeCell ref="P17:Q19"/>
    <mergeCell ref="R17:Z17"/>
    <mergeCell ref="X5:Z5"/>
    <mergeCell ref="R6:T6"/>
    <mergeCell ref="U6:W6"/>
    <mergeCell ref="G4:Q5"/>
    <mergeCell ref="G6:Q6"/>
    <mergeCell ref="B4:C5"/>
    <mergeCell ref="D4:F5"/>
    <mergeCell ref="G10:Q10"/>
    <mergeCell ref="X6:Z6"/>
    <mergeCell ref="D6:F6"/>
    <mergeCell ref="A12:Q12"/>
    <mergeCell ref="B17:C19"/>
    <mergeCell ref="B20:C20"/>
    <mergeCell ref="A17:A19"/>
    <mergeCell ref="H17:O19"/>
    <mergeCell ref="M28:P28"/>
    <mergeCell ref="P29:P30"/>
    <mergeCell ref="M29:M30"/>
    <mergeCell ref="N29:N30"/>
    <mergeCell ref="H22:O22"/>
    <mergeCell ref="H20:O20"/>
    <mergeCell ref="B22:C22"/>
    <mergeCell ref="P20:Q20"/>
    <mergeCell ref="A23:Q23"/>
    <mergeCell ref="D21:G21"/>
    <mergeCell ref="D22:G22"/>
    <mergeCell ref="P65:Q65"/>
    <mergeCell ref="R65:S65"/>
    <mergeCell ref="AB29:AB30"/>
    <mergeCell ref="AC28:AF28"/>
    <mergeCell ref="U28:X28"/>
    <mergeCell ref="AA12:AC12"/>
    <mergeCell ref="Z27:AB27"/>
    <mergeCell ref="X18:Z19"/>
    <mergeCell ref="AA23:AC23"/>
    <mergeCell ref="AA22:AC22"/>
    <mergeCell ref="X22:Z22"/>
    <mergeCell ref="X20:Z20"/>
    <mergeCell ref="U20:W20"/>
    <mergeCell ref="U18:W19"/>
    <mergeCell ref="AD20:AF20"/>
    <mergeCell ref="R29:R30"/>
    <mergeCell ref="AD21:AF21"/>
    <mergeCell ref="AA29:AA30"/>
    <mergeCell ref="AD22:AF22"/>
    <mergeCell ref="AD17:AF19"/>
    <mergeCell ref="AA17:AC19"/>
    <mergeCell ref="U21:W21"/>
    <mergeCell ref="U22:W22"/>
    <mergeCell ref="X23:Z23"/>
    <mergeCell ref="A78:XFD78"/>
    <mergeCell ref="AA63:AF65"/>
    <mergeCell ref="AD62:AF62"/>
    <mergeCell ref="W29:W30"/>
    <mergeCell ref="X29:X30"/>
    <mergeCell ref="AC29:AC30"/>
    <mergeCell ref="AA67:AF67"/>
    <mergeCell ref="AA66:AF66"/>
    <mergeCell ref="AD29:AD30"/>
    <mergeCell ref="H67:I67"/>
    <mergeCell ref="H68:I68"/>
    <mergeCell ref="J68:K68"/>
    <mergeCell ref="A28:A30"/>
    <mergeCell ref="AE29:AE30"/>
    <mergeCell ref="AF29:AF30"/>
    <mergeCell ref="Y28:AB28"/>
    <mergeCell ref="S29:S30"/>
    <mergeCell ref="D68:E68"/>
    <mergeCell ref="P67:Q67"/>
    <mergeCell ref="T67:U67"/>
    <mergeCell ref="R67:S67"/>
    <mergeCell ref="N64:O65"/>
    <mergeCell ref="F63:G65"/>
    <mergeCell ref="F66:G66"/>
    <mergeCell ref="AD1:AF1"/>
    <mergeCell ref="AA68:AF68"/>
    <mergeCell ref="AA69:AF69"/>
    <mergeCell ref="T29:T30"/>
    <mergeCell ref="V29:V30"/>
    <mergeCell ref="B28:L30"/>
    <mergeCell ref="D63:E65"/>
    <mergeCell ref="AD23:AF23"/>
    <mergeCell ref="AD27:AF27"/>
    <mergeCell ref="Q28:T28"/>
    <mergeCell ref="V63:Z65"/>
    <mergeCell ref="F68:G68"/>
    <mergeCell ref="F67:G67"/>
    <mergeCell ref="B68:C68"/>
    <mergeCell ref="R68:S68"/>
    <mergeCell ref="L67:M67"/>
    <mergeCell ref="N67:O67"/>
    <mergeCell ref="J67:K67"/>
    <mergeCell ref="AD10:AF10"/>
    <mergeCell ref="AD11:AF11"/>
    <mergeCell ref="AA11:AC11"/>
    <mergeCell ref="AD12:AF12"/>
    <mergeCell ref="X12:Z12"/>
    <mergeCell ref="R12:T12"/>
  </mergeCells>
  <phoneticPr fontId="3" type="noConversion"/>
  <printOptions horizontalCentered="1"/>
  <pageMargins left="0.59055118110236227" right="0.59055118110236227" top="0.98425196850393704" bottom="0.59055118110236227" header="0" footer="0"/>
  <pageSetup paperSize="9" scale="31" fitToHeight="3" orientation="landscape" blackAndWhite="1" verticalDpi="1200" r:id="rId1"/>
  <headerFooter alignWithMargins="0"/>
  <rowBreaks count="1" manualBreakCount="1">
    <brk id="58" max="31" man="1"/>
  </rowBreaks>
  <ignoredErrors>
    <ignoredError sqref="AE58:AF58 F69:K69" formulaRange="1"/>
    <ignoredError sqref="AA58:AB58 O58 P58 S58:T58 W58:X58" evalError="1" formulaRange="1"/>
    <ignoredError sqref="AC58:AD58 AE10:AF10" evalErro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I18"/>
  <sheetViews>
    <sheetView zoomScale="75" zoomScaleNormal="75" zoomScaleSheetLayoutView="75" workbookViewId="0">
      <selection activeCell="D21" sqref="D21"/>
    </sheetView>
  </sheetViews>
  <sheetFormatPr defaultColWidth="8.88671875" defaultRowHeight="13.2"/>
  <cols>
    <col min="1" max="1" width="39.44140625" style="40" customWidth="1"/>
    <col min="2" max="2" width="12.88671875" style="40" customWidth="1"/>
    <col min="3" max="3" width="19.6640625" style="40" customWidth="1"/>
    <col min="4" max="4" width="19" style="40" customWidth="1"/>
    <col min="5" max="6" width="18.109375" style="40" customWidth="1"/>
    <col min="7" max="7" width="18.33203125" style="40" customWidth="1"/>
    <col min="8" max="8" width="18.6640625" style="40" customWidth="1"/>
    <col min="9" max="16384" width="8.88671875" style="40"/>
  </cols>
  <sheetData>
    <row r="2" spans="1:9" ht="31.5" customHeight="1">
      <c r="G2" s="708" t="s">
        <v>349</v>
      </c>
      <c r="H2" s="708"/>
    </row>
    <row r="3" spans="1:9" ht="32.25" customHeight="1">
      <c r="A3" s="467" t="s">
        <v>388</v>
      </c>
      <c r="B3" s="467"/>
      <c r="C3" s="467"/>
      <c r="D3" s="467"/>
      <c r="E3" s="467"/>
      <c r="F3" s="467"/>
      <c r="G3" s="467"/>
      <c r="H3" s="467"/>
    </row>
    <row r="4" spans="1:9" ht="28.5" customHeight="1">
      <c r="A4" s="709" t="s">
        <v>435</v>
      </c>
      <c r="B4" s="709"/>
      <c r="C4" s="709"/>
      <c r="D4" s="709"/>
      <c r="E4" s="709"/>
      <c r="F4" s="709"/>
      <c r="G4" s="709"/>
      <c r="H4" s="709"/>
    </row>
    <row r="5" spans="1:9" ht="45.75" customHeight="1">
      <c r="A5" s="710" t="s">
        <v>153</v>
      </c>
      <c r="B5" s="592" t="s">
        <v>18</v>
      </c>
      <c r="C5" s="592" t="s">
        <v>389</v>
      </c>
      <c r="D5" s="592"/>
      <c r="E5" s="494" t="s">
        <v>427</v>
      </c>
      <c r="F5" s="494"/>
      <c r="G5" s="494"/>
      <c r="H5" s="494"/>
    </row>
    <row r="6" spans="1:9" ht="65.25" customHeight="1">
      <c r="A6" s="711"/>
      <c r="B6" s="592"/>
      <c r="C6" s="161" t="s">
        <v>432</v>
      </c>
      <c r="D6" s="161" t="s">
        <v>433</v>
      </c>
      <c r="E6" s="161" t="s">
        <v>144</v>
      </c>
      <c r="F6" s="161" t="s">
        <v>140</v>
      </c>
      <c r="G6" s="110" t="s">
        <v>150</v>
      </c>
      <c r="H6" s="110" t="s">
        <v>151</v>
      </c>
    </row>
    <row r="7" spans="1:9" ht="30" customHeight="1">
      <c r="A7" s="102">
        <v>1</v>
      </c>
      <c r="B7" s="161">
        <v>2</v>
      </c>
      <c r="C7" s="102">
        <v>3</v>
      </c>
      <c r="D7" s="161">
        <v>4</v>
      </c>
      <c r="E7" s="102">
        <v>5</v>
      </c>
      <c r="F7" s="161">
        <v>6</v>
      </c>
      <c r="G7" s="102">
        <v>7</v>
      </c>
      <c r="H7" s="161">
        <v>8</v>
      </c>
    </row>
    <row r="8" spans="1:9" ht="28.5" customHeight="1">
      <c r="A8" s="712" t="s">
        <v>333</v>
      </c>
      <c r="B8" s="713"/>
      <c r="C8" s="713"/>
      <c r="D8" s="713"/>
      <c r="E8" s="713"/>
      <c r="F8" s="713"/>
      <c r="G8" s="713"/>
      <c r="H8" s="714"/>
    </row>
    <row r="9" spans="1:9" ht="51" customHeight="1">
      <c r="A9" s="269" t="s">
        <v>451</v>
      </c>
      <c r="B9" s="144">
        <v>6000</v>
      </c>
      <c r="C9" s="427">
        <f>SUM(C11:C12)</f>
        <v>74493.8</v>
      </c>
      <c r="D9" s="428">
        <f t="shared" ref="D9:F9" si="0">SUM(D11:D12)</f>
        <v>189997</v>
      </c>
      <c r="E9" s="429">
        <f t="shared" si="0"/>
        <v>189997</v>
      </c>
      <c r="F9" s="428">
        <f t="shared" si="0"/>
        <v>189997</v>
      </c>
      <c r="G9" s="429">
        <f t="shared" ref="G9" si="1">F9-E9</f>
        <v>0</v>
      </c>
      <c r="H9" s="292">
        <f t="shared" ref="H9" si="2">IF(E9=0,0,F9/E9*100)</f>
        <v>100</v>
      </c>
    </row>
    <row r="10" spans="1:9" ht="39.75" customHeight="1">
      <c r="A10" s="715" t="s">
        <v>334</v>
      </c>
      <c r="B10" s="713"/>
      <c r="C10" s="713"/>
      <c r="D10" s="713"/>
      <c r="E10" s="713"/>
      <c r="F10" s="713"/>
      <c r="G10" s="713"/>
      <c r="H10" s="714"/>
    </row>
    <row r="11" spans="1:9" ht="51" customHeight="1">
      <c r="A11" s="42" t="s">
        <v>412</v>
      </c>
      <c r="B11" s="101">
        <v>6010</v>
      </c>
      <c r="C11" s="424">
        <f>'Розшифровка до Статутного'!C7</f>
        <v>74493.8</v>
      </c>
      <c r="D11" s="425">
        <f>'Розшифровка до Статутного'!E7</f>
        <v>113614</v>
      </c>
      <c r="E11" s="426">
        <f>'Розшифровка до Статутного'!D7</f>
        <v>113614</v>
      </c>
      <c r="F11" s="425">
        <f>D11</f>
        <v>113614</v>
      </c>
      <c r="G11" s="426">
        <f t="shared" ref="G11" si="3">F11-E11</f>
        <v>0</v>
      </c>
      <c r="H11" s="293">
        <f t="shared" ref="H11" si="4">IF(E11=0,0,F11/E11*100)</f>
        <v>100</v>
      </c>
    </row>
    <row r="12" spans="1:9" ht="51" customHeight="1">
      <c r="A12" s="42" t="s">
        <v>335</v>
      </c>
      <c r="B12" s="102">
        <v>6020</v>
      </c>
      <c r="C12" s="426">
        <f>'Розшифровка до Статутного'!C9</f>
        <v>0</v>
      </c>
      <c r="D12" s="425">
        <f>'Розшифровка до Статутного'!E15</f>
        <v>76383</v>
      </c>
      <c r="E12" s="426">
        <f>'Розшифровка до Статутного'!D15</f>
        <v>76383</v>
      </c>
      <c r="F12" s="425">
        <f>D12</f>
        <v>76383</v>
      </c>
      <c r="G12" s="426">
        <f t="shared" ref="G12" si="5">F12-E12</f>
        <v>0</v>
      </c>
      <c r="H12" s="293">
        <f t="shared" ref="H12" si="6">IF(E12=0,0,F12/E12*100)</f>
        <v>100</v>
      </c>
    </row>
    <row r="13" spans="1:9" ht="76.2" customHeight="1">
      <c r="A13" s="69"/>
      <c r="B13" s="80"/>
      <c r="C13" s="81"/>
      <c r="D13" s="81"/>
      <c r="E13" s="81"/>
      <c r="F13" s="81"/>
      <c r="G13" s="81"/>
      <c r="H13" s="82"/>
    </row>
    <row r="14" spans="1:9" s="60" customFormat="1" ht="27.6" customHeight="1">
      <c r="A14" s="465" t="s">
        <v>569</v>
      </c>
      <c r="B14" s="465"/>
      <c r="C14" s="533" t="s">
        <v>423</v>
      </c>
      <c r="D14" s="533"/>
      <c r="E14" s="533"/>
      <c r="F14" s="531" t="s">
        <v>570</v>
      </c>
      <c r="G14" s="531"/>
      <c r="H14" s="531"/>
      <c r="I14" s="400"/>
    </row>
    <row r="15" spans="1:9" s="294" customFormat="1" ht="15.6">
      <c r="A15" s="263"/>
      <c r="B15" s="134"/>
      <c r="C15" s="491"/>
      <c r="D15" s="491"/>
      <c r="E15" s="134"/>
      <c r="F15" s="491"/>
      <c r="G15" s="491"/>
      <c r="H15" s="134"/>
    </row>
    <row r="18" ht="3" customHeight="1"/>
  </sheetData>
  <mergeCells count="14">
    <mergeCell ref="A8:H8"/>
    <mergeCell ref="A10:H10"/>
    <mergeCell ref="C15:D15"/>
    <mergeCell ref="F15:G15"/>
    <mergeCell ref="A14:B14"/>
    <mergeCell ref="C14:E14"/>
    <mergeCell ref="F14:H14"/>
    <mergeCell ref="G2:H2"/>
    <mergeCell ref="A3:H3"/>
    <mergeCell ref="A4:H4"/>
    <mergeCell ref="A5:A6"/>
    <mergeCell ref="B5:B6"/>
    <mergeCell ref="C5:D5"/>
    <mergeCell ref="E5:H5"/>
  </mergeCells>
  <printOptions horizontalCentered="1"/>
  <pageMargins left="0.59055118110236227" right="0.59055118110236227" top="0.98425196850393704" bottom="0.59055118110236227" header="0" footer="0"/>
  <pageSetup paperSize="9" scale="83" orientation="landscape" blackAndWhite="1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I224"/>
  <sheetViews>
    <sheetView tabSelected="1" view="pageBreakPreview" zoomScale="80" zoomScaleNormal="80" zoomScaleSheetLayoutView="80" workbookViewId="0">
      <selection activeCell="B1" sqref="B1:E1048576"/>
    </sheetView>
  </sheetViews>
  <sheetFormatPr defaultColWidth="9.109375" defaultRowHeight="18"/>
  <cols>
    <col min="1" max="1" width="62.44140625" style="115" customWidth="1"/>
    <col min="2" max="2" width="12.5546875" style="180" customWidth="1"/>
    <col min="3" max="3" width="14.88671875" style="180" customWidth="1"/>
    <col min="4" max="4" width="16.109375" style="180" customWidth="1"/>
    <col min="5" max="5" width="16.6640625" style="180" customWidth="1"/>
    <col min="6" max="6" width="17" style="180" customWidth="1"/>
    <col min="7" max="7" width="15.5546875" style="180" customWidth="1"/>
    <col min="8" max="16384" width="9.109375" style="115"/>
  </cols>
  <sheetData>
    <row r="2" spans="1:7" ht="33.75" customHeight="1">
      <c r="A2" s="484" t="s">
        <v>403</v>
      </c>
      <c r="B2" s="484"/>
      <c r="C2" s="484"/>
      <c r="D2" s="484"/>
      <c r="E2" s="484"/>
      <c r="F2" s="484"/>
      <c r="G2" s="484"/>
    </row>
    <row r="3" spans="1:7" ht="28.5" customHeight="1">
      <c r="A3" s="260"/>
      <c r="B3" s="106"/>
      <c r="C3" s="106"/>
      <c r="D3" s="260"/>
      <c r="E3" s="260"/>
      <c r="F3" s="260"/>
      <c r="G3" s="288" t="s">
        <v>435</v>
      </c>
    </row>
    <row r="4" spans="1:7" ht="60" customHeight="1">
      <c r="A4" s="266" t="s">
        <v>153</v>
      </c>
      <c r="B4" s="107" t="s">
        <v>18</v>
      </c>
      <c r="C4" s="107" t="s">
        <v>428</v>
      </c>
      <c r="D4" s="107" t="s">
        <v>429</v>
      </c>
      <c r="E4" s="107" t="s">
        <v>430</v>
      </c>
      <c r="F4" s="107" t="s">
        <v>413</v>
      </c>
      <c r="G4" s="108" t="s">
        <v>431</v>
      </c>
    </row>
    <row r="5" spans="1:7" ht="23.25" customHeight="1">
      <c r="A5" s="266">
        <v>1</v>
      </c>
      <c r="B5" s="107">
        <v>2</v>
      </c>
      <c r="C5" s="107">
        <v>3</v>
      </c>
      <c r="D5" s="107">
        <v>4</v>
      </c>
      <c r="E5" s="107">
        <v>5</v>
      </c>
      <c r="F5" s="107">
        <v>6</v>
      </c>
      <c r="G5" s="107">
        <v>7</v>
      </c>
    </row>
    <row r="6" spans="1:7" s="158" customFormat="1" ht="44.25" customHeight="1">
      <c r="A6" s="269" t="s">
        <v>395</v>
      </c>
      <c r="B6" s="270">
        <v>6000</v>
      </c>
      <c r="C6" s="429">
        <f>C7+C15</f>
        <v>74493.8</v>
      </c>
      <c r="D6" s="427">
        <f>D7+D15</f>
        <v>189997</v>
      </c>
      <c r="E6" s="428">
        <f>E7+E15</f>
        <v>189997</v>
      </c>
      <c r="F6" s="426">
        <f>E6-D6</f>
        <v>0</v>
      </c>
      <c r="G6" s="287">
        <f>(E6/D6)*100</f>
        <v>100</v>
      </c>
    </row>
    <row r="7" spans="1:7" s="158" customFormat="1" ht="31.5" customHeight="1">
      <c r="A7" s="269" t="s">
        <v>396</v>
      </c>
      <c r="B7" s="270">
        <v>6010</v>
      </c>
      <c r="C7" s="429">
        <f>SUM(C8:C14)</f>
        <v>74493.8</v>
      </c>
      <c r="D7" s="427">
        <f>SUM(D8:D14)</f>
        <v>113614</v>
      </c>
      <c r="E7" s="428">
        <f>SUM(E8:E14)</f>
        <v>113614</v>
      </c>
      <c r="F7" s="426">
        <f t="shared" ref="F7:F9" si="0">E7-D7</f>
        <v>0</v>
      </c>
      <c r="G7" s="287">
        <f t="shared" ref="G7:G9" si="1">(E7/D7)*100</f>
        <v>100</v>
      </c>
    </row>
    <row r="8" spans="1:7" s="198" customFormat="1" ht="36" customHeight="1">
      <c r="A8" s="186" t="s">
        <v>595</v>
      </c>
      <c r="B8" s="161"/>
      <c r="C8" s="430">
        <v>26123.4</v>
      </c>
      <c r="D8" s="424"/>
      <c r="E8" s="425"/>
      <c r="F8" s="426">
        <f t="shared" si="0"/>
        <v>0</v>
      </c>
      <c r="G8" s="287"/>
    </row>
    <row r="9" spans="1:7" s="158" customFormat="1" ht="40.200000000000003" customHeight="1">
      <c r="A9" s="202" t="s">
        <v>669</v>
      </c>
      <c r="B9" s="161"/>
      <c r="C9" s="426"/>
      <c r="D9" s="424">
        <v>78678</v>
      </c>
      <c r="E9" s="425">
        <v>77278</v>
      </c>
      <c r="F9" s="426">
        <f t="shared" si="0"/>
        <v>-1400</v>
      </c>
      <c r="G9" s="287">
        <f t="shared" si="1"/>
        <v>98.220595337959779</v>
      </c>
    </row>
    <row r="10" spans="1:7" s="158" customFormat="1" ht="36">
      <c r="A10" s="188" t="s">
        <v>597</v>
      </c>
      <c r="B10" s="161"/>
      <c r="C10" s="431">
        <v>44876.6</v>
      </c>
      <c r="D10" s="424"/>
      <c r="E10" s="425"/>
      <c r="F10" s="426">
        <f t="shared" ref="F10:F17" si="2">E10-D10</f>
        <v>0</v>
      </c>
      <c r="G10" s="287"/>
    </row>
    <row r="11" spans="1:7" s="158" customFormat="1" ht="58.95" customHeight="1">
      <c r="A11" s="188" t="s">
        <v>598</v>
      </c>
      <c r="B11" s="161"/>
      <c r="C11" s="431">
        <v>1250</v>
      </c>
      <c r="D11" s="424"/>
      <c r="E11" s="425"/>
      <c r="F11" s="426">
        <f t="shared" si="2"/>
        <v>0</v>
      </c>
      <c r="G11" s="287"/>
    </row>
    <row r="12" spans="1:7" s="158" customFormat="1" ht="58.95" customHeight="1">
      <c r="A12" s="188" t="s">
        <v>699</v>
      </c>
      <c r="B12" s="161"/>
      <c r="C12" s="431"/>
      <c r="D12" s="424">
        <v>32936</v>
      </c>
      <c r="E12" s="425">
        <v>34336</v>
      </c>
      <c r="F12" s="426">
        <f t="shared" si="2"/>
        <v>1400</v>
      </c>
      <c r="G12" s="287">
        <f t="shared" ref="G12:G17" si="3">(E12/D12)*100</f>
        <v>104.25066796210834</v>
      </c>
    </row>
    <row r="13" spans="1:7" s="158" customFormat="1" ht="54">
      <c r="A13" s="188" t="s">
        <v>599</v>
      </c>
      <c r="B13" s="161"/>
      <c r="C13" s="431">
        <v>2243.8000000000002</v>
      </c>
      <c r="D13" s="424"/>
      <c r="E13" s="425"/>
      <c r="F13" s="426">
        <f t="shared" si="2"/>
        <v>0</v>
      </c>
      <c r="G13" s="287"/>
    </row>
    <row r="14" spans="1:7" s="158" customFormat="1" ht="36">
      <c r="A14" s="199" t="s">
        <v>596</v>
      </c>
      <c r="B14" s="161"/>
      <c r="C14" s="431"/>
      <c r="D14" s="424">
        <v>2000</v>
      </c>
      <c r="E14" s="425">
        <v>2000</v>
      </c>
      <c r="F14" s="426">
        <f t="shared" si="2"/>
        <v>0</v>
      </c>
      <c r="G14" s="287">
        <f t="shared" si="3"/>
        <v>100</v>
      </c>
    </row>
    <row r="15" spans="1:7" s="158" customFormat="1">
      <c r="A15" s="205" t="s">
        <v>600</v>
      </c>
      <c r="B15" s="206">
        <v>6020</v>
      </c>
      <c r="C15" s="432">
        <f>C16+C17</f>
        <v>0</v>
      </c>
      <c r="D15" s="433">
        <f t="shared" ref="D15:E15" si="4">D16+D17</f>
        <v>76383</v>
      </c>
      <c r="E15" s="434">
        <f t="shared" si="4"/>
        <v>76383</v>
      </c>
      <c r="F15" s="426">
        <f t="shared" si="2"/>
        <v>0</v>
      </c>
      <c r="G15" s="287">
        <f t="shared" si="3"/>
        <v>100</v>
      </c>
    </row>
    <row r="16" spans="1:7" s="158" customFormat="1" ht="36">
      <c r="A16" s="188" t="s">
        <v>598</v>
      </c>
      <c r="B16" s="206"/>
      <c r="C16" s="431"/>
      <c r="D16" s="424">
        <v>33750</v>
      </c>
      <c r="E16" s="425">
        <v>33750</v>
      </c>
      <c r="F16" s="426">
        <f t="shared" si="2"/>
        <v>0</v>
      </c>
      <c r="G16" s="287">
        <f t="shared" si="3"/>
        <v>100</v>
      </c>
    </row>
    <row r="17" spans="1:9" s="158" customFormat="1" ht="54">
      <c r="A17" s="188" t="s">
        <v>599</v>
      </c>
      <c r="B17" s="206"/>
      <c r="C17" s="431"/>
      <c r="D17" s="424">
        <v>42633</v>
      </c>
      <c r="E17" s="425">
        <v>42633</v>
      </c>
      <c r="F17" s="426">
        <f t="shared" si="2"/>
        <v>0</v>
      </c>
      <c r="G17" s="287">
        <f t="shared" si="3"/>
        <v>100</v>
      </c>
    </row>
    <row r="18" spans="1:9" s="158" customFormat="1">
      <c r="A18" s="207"/>
      <c r="B18" s="157"/>
      <c r="C18" s="157"/>
      <c r="D18" s="156"/>
      <c r="E18" s="203"/>
      <c r="F18" s="203"/>
      <c r="G18" s="203"/>
    </row>
    <row r="19" spans="1:9" s="158" customFormat="1" ht="47.4" customHeight="1">
      <c r="A19" s="207"/>
      <c r="B19" s="157"/>
      <c r="C19" s="157"/>
      <c r="D19" s="156"/>
      <c r="E19" s="203"/>
      <c r="F19" s="203"/>
      <c r="G19" s="203"/>
    </row>
    <row r="20" spans="1:9" s="60" customFormat="1" ht="31.95" customHeight="1">
      <c r="A20" s="465" t="s">
        <v>569</v>
      </c>
      <c r="B20" s="465"/>
      <c r="C20" s="262"/>
      <c r="D20" s="466" t="s">
        <v>80</v>
      </c>
      <c r="E20" s="466"/>
      <c r="F20" s="531" t="s">
        <v>570</v>
      </c>
      <c r="G20" s="531"/>
      <c r="H20" s="196"/>
      <c r="I20" s="63"/>
    </row>
    <row r="21" spans="1:9">
      <c r="A21" s="5"/>
      <c r="D21" s="116"/>
      <c r="E21" s="291"/>
      <c r="F21" s="291"/>
      <c r="G21" s="291"/>
    </row>
    <row r="22" spans="1:9">
      <c r="A22" s="5"/>
      <c r="D22" s="116"/>
      <c r="E22" s="291"/>
      <c r="F22" s="291"/>
      <c r="G22" s="291"/>
    </row>
    <row r="23" spans="1:9">
      <c r="A23" s="5"/>
      <c r="D23" s="116"/>
      <c r="E23" s="291"/>
      <c r="F23" s="291"/>
      <c r="G23" s="291"/>
    </row>
    <row r="24" spans="1:9">
      <c r="A24" s="5"/>
      <c r="D24" s="116"/>
      <c r="E24" s="291"/>
      <c r="F24" s="291"/>
      <c r="G24" s="291"/>
    </row>
    <row r="25" spans="1:9">
      <c r="A25" s="5"/>
      <c r="D25" s="116"/>
      <c r="E25" s="291"/>
      <c r="F25" s="291"/>
      <c r="G25" s="291"/>
    </row>
    <row r="26" spans="1:9">
      <c r="A26" s="5"/>
      <c r="D26" s="116"/>
      <c r="E26" s="291"/>
      <c r="F26" s="291"/>
      <c r="G26" s="291"/>
    </row>
    <row r="27" spans="1:9">
      <c r="A27" s="5"/>
      <c r="D27" s="116"/>
      <c r="E27" s="291"/>
      <c r="F27" s="291"/>
      <c r="G27" s="291"/>
    </row>
    <row r="28" spans="1:9">
      <c r="A28" s="5"/>
      <c r="D28" s="116"/>
      <c r="E28" s="291"/>
      <c r="F28" s="291"/>
      <c r="G28" s="291"/>
    </row>
    <row r="29" spans="1:9">
      <c r="A29" s="5"/>
      <c r="D29" s="116"/>
      <c r="E29" s="291"/>
      <c r="F29" s="291"/>
      <c r="G29" s="291"/>
    </row>
    <row r="30" spans="1:9">
      <c r="A30" s="5"/>
      <c r="D30" s="116"/>
      <c r="E30" s="291"/>
      <c r="F30" s="291"/>
      <c r="G30" s="291"/>
    </row>
    <row r="31" spans="1:9">
      <c r="A31" s="5"/>
      <c r="D31" s="116"/>
      <c r="E31" s="291"/>
      <c r="F31" s="291"/>
      <c r="G31" s="291"/>
    </row>
    <row r="32" spans="1:9">
      <c r="A32" s="5"/>
      <c r="D32" s="116"/>
      <c r="E32" s="291"/>
      <c r="F32" s="291"/>
      <c r="G32" s="291"/>
    </row>
    <row r="33" spans="1:7">
      <c r="A33" s="5"/>
      <c r="D33" s="116"/>
      <c r="E33" s="291"/>
      <c r="F33" s="291"/>
      <c r="G33" s="291"/>
    </row>
    <row r="34" spans="1:7">
      <c r="A34" s="5"/>
      <c r="D34" s="116"/>
      <c r="E34" s="291"/>
      <c r="F34" s="291"/>
      <c r="G34" s="291"/>
    </row>
    <row r="35" spans="1:7">
      <c r="A35" s="5"/>
      <c r="D35" s="116"/>
      <c r="E35" s="291"/>
      <c r="F35" s="291"/>
      <c r="G35" s="291"/>
    </row>
    <row r="36" spans="1:7">
      <c r="A36" s="5"/>
      <c r="D36" s="116"/>
      <c r="E36" s="291"/>
      <c r="F36" s="291"/>
      <c r="G36" s="291"/>
    </row>
    <row r="37" spans="1:7">
      <c r="A37" s="5"/>
      <c r="D37" s="116"/>
      <c r="E37" s="291"/>
      <c r="F37" s="291"/>
      <c r="G37" s="291"/>
    </row>
    <row r="38" spans="1:7">
      <c r="A38" s="5"/>
      <c r="D38" s="116"/>
      <c r="E38" s="291"/>
      <c r="F38" s="291"/>
      <c r="G38" s="291"/>
    </row>
    <row r="39" spans="1:7">
      <c r="A39" s="5"/>
      <c r="D39" s="116"/>
      <c r="E39" s="291"/>
      <c r="F39" s="291"/>
      <c r="G39" s="291"/>
    </row>
    <row r="40" spans="1:7">
      <c r="A40" s="5"/>
      <c r="D40" s="116"/>
      <c r="E40" s="291"/>
      <c r="F40" s="291"/>
      <c r="G40" s="291"/>
    </row>
    <row r="41" spans="1:7">
      <c r="A41" s="5"/>
      <c r="D41" s="116"/>
      <c r="E41" s="291"/>
      <c r="F41" s="291"/>
      <c r="G41" s="291"/>
    </row>
    <row r="42" spans="1:7">
      <c r="A42" s="5"/>
      <c r="D42" s="116"/>
      <c r="E42" s="291"/>
      <c r="F42" s="291"/>
      <c r="G42" s="291"/>
    </row>
    <row r="43" spans="1:7">
      <c r="A43" s="5"/>
      <c r="D43" s="116"/>
      <c r="E43" s="291"/>
      <c r="F43" s="291"/>
      <c r="G43" s="291"/>
    </row>
    <row r="44" spans="1:7">
      <c r="A44" s="5"/>
      <c r="D44" s="116"/>
      <c r="E44" s="291"/>
      <c r="F44" s="291"/>
      <c r="G44" s="291"/>
    </row>
    <row r="45" spans="1:7">
      <c r="A45" s="5"/>
      <c r="D45" s="116"/>
      <c r="E45" s="291"/>
      <c r="F45" s="291"/>
      <c r="G45" s="291"/>
    </row>
    <row r="46" spans="1:7">
      <c r="A46" s="5"/>
      <c r="D46" s="116"/>
      <c r="E46" s="291"/>
      <c r="F46" s="291"/>
      <c r="G46" s="291"/>
    </row>
    <row r="47" spans="1:7">
      <c r="A47" s="5"/>
      <c r="D47" s="116"/>
      <c r="E47" s="291"/>
      <c r="F47" s="291"/>
      <c r="G47" s="291"/>
    </row>
    <row r="48" spans="1:7">
      <c r="A48" s="5"/>
      <c r="D48" s="116"/>
      <c r="E48" s="291"/>
      <c r="F48" s="291"/>
      <c r="G48" s="291"/>
    </row>
    <row r="49" spans="1:7">
      <c r="A49" s="5"/>
      <c r="D49" s="116"/>
      <c r="E49" s="291"/>
      <c r="F49" s="291"/>
      <c r="G49" s="291"/>
    </row>
    <row r="50" spans="1:7">
      <c r="A50" s="5"/>
      <c r="D50" s="116"/>
      <c r="E50" s="291"/>
      <c r="F50" s="291"/>
      <c r="G50" s="291"/>
    </row>
    <row r="51" spans="1:7">
      <c r="A51" s="5"/>
      <c r="D51" s="116"/>
      <c r="E51" s="291"/>
      <c r="F51" s="291"/>
      <c r="G51" s="291"/>
    </row>
    <row r="52" spans="1:7">
      <c r="A52" s="5"/>
      <c r="D52" s="116"/>
      <c r="E52" s="291"/>
      <c r="F52" s="291"/>
      <c r="G52" s="291"/>
    </row>
    <row r="53" spans="1:7">
      <c r="A53" s="5"/>
      <c r="D53" s="116"/>
      <c r="E53" s="291"/>
      <c r="F53" s="291"/>
      <c r="G53" s="291"/>
    </row>
    <row r="54" spans="1:7">
      <c r="A54" s="5"/>
      <c r="D54" s="116"/>
      <c r="E54" s="291"/>
      <c r="F54" s="291"/>
      <c r="G54" s="291"/>
    </row>
    <row r="55" spans="1:7">
      <c r="A55" s="5"/>
      <c r="D55" s="116"/>
      <c r="E55" s="291"/>
      <c r="F55" s="291"/>
      <c r="G55" s="291"/>
    </row>
    <row r="56" spans="1:7">
      <c r="A56" s="5"/>
      <c r="D56" s="116"/>
      <c r="E56" s="291"/>
      <c r="F56" s="291"/>
      <c r="G56" s="291"/>
    </row>
    <row r="57" spans="1:7">
      <c r="A57" s="5"/>
    </row>
    <row r="58" spans="1:7">
      <c r="A58" s="123"/>
    </row>
    <row r="59" spans="1:7">
      <c r="A59" s="123"/>
    </row>
    <row r="60" spans="1:7">
      <c r="A60" s="123"/>
    </row>
    <row r="61" spans="1:7">
      <c r="A61" s="123"/>
    </row>
    <row r="62" spans="1:7">
      <c r="A62" s="123"/>
    </row>
    <row r="63" spans="1:7">
      <c r="A63" s="123"/>
    </row>
    <row r="64" spans="1:7">
      <c r="A64" s="123"/>
    </row>
    <row r="65" spans="1:1">
      <c r="A65" s="123"/>
    </row>
    <row r="66" spans="1:1">
      <c r="A66" s="123"/>
    </row>
    <row r="67" spans="1:1">
      <c r="A67" s="123"/>
    </row>
    <row r="68" spans="1:1">
      <c r="A68" s="123"/>
    </row>
    <row r="69" spans="1:1">
      <c r="A69" s="123"/>
    </row>
    <row r="70" spans="1:1">
      <c r="A70" s="123"/>
    </row>
    <row r="71" spans="1:1">
      <c r="A71" s="123"/>
    </row>
    <row r="72" spans="1:1">
      <c r="A72" s="123"/>
    </row>
    <row r="73" spans="1:1">
      <c r="A73" s="123"/>
    </row>
    <row r="74" spans="1:1">
      <c r="A74" s="123"/>
    </row>
    <row r="75" spans="1:1">
      <c r="A75" s="123"/>
    </row>
    <row r="76" spans="1:1">
      <c r="A76" s="123"/>
    </row>
    <row r="77" spans="1:1">
      <c r="A77" s="123"/>
    </row>
    <row r="78" spans="1:1">
      <c r="A78" s="123"/>
    </row>
    <row r="79" spans="1:1">
      <c r="A79" s="123"/>
    </row>
    <row r="80" spans="1:1">
      <c r="A80" s="123"/>
    </row>
    <row r="81" spans="1:1">
      <c r="A81" s="123"/>
    </row>
    <row r="82" spans="1:1">
      <c r="A82" s="123"/>
    </row>
    <row r="83" spans="1:1">
      <c r="A83" s="123"/>
    </row>
    <row r="84" spans="1:1">
      <c r="A84" s="123"/>
    </row>
    <row r="85" spans="1:1">
      <c r="A85" s="123"/>
    </row>
    <row r="86" spans="1:1">
      <c r="A86" s="123"/>
    </row>
    <row r="87" spans="1:1">
      <c r="A87" s="123"/>
    </row>
    <row r="88" spans="1:1">
      <c r="A88" s="123"/>
    </row>
    <row r="89" spans="1:1">
      <c r="A89" s="123"/>
    </row>
    <row r="90" spans="1:1">
      <c r="A90" s="123"/>
    </row>
    <row r="91" spans="1:1">
      <c r="A91" s="123"/>
    </row>
    <row r="92" spans="1:1">
      <c r="A92" s="123"/>
    </row>
    <row r="93" spans="1:1">
      <c r="A93" s="123"/>
    </row>
    <row r="94" spans="1:1">
      <c r="A94" s="123"/>
    </row>
    <row r="95" spans="1:1">
      <c r="A95" s="123"/>
    </row>
    <row r="96" spans="1:1">
      <c r="A96" s="123"/>
    </row>
    <row r="97" spans="1:1">
      <c r="A97" s="123"/>
    </row>
    <row r="98" spans="1:1">
      <c r="A98" s="123"/>
    </row>
    <row r="99" spans="1:1">
      <c r="A99" s="123"/>
    </row>
    <row r="100" spans="1:1">
      <c r="A100" s="123"/>
    </row>
    <row r="101" spans="1:1">
      <c r="A101" s="123"/>
    </row>
    <row r="102" spans="1:1">
      <c r="A102" s="123"/>
    </row>
    <row r="103" spans="1:1">
      <c r="A103" s="123"/>
    </row>
    <row r="104" spans="1:1">
      <c r="A104" s="123"/>
    </row>
    <row r="105" spans="1:1">
      <c r="A105" s="123"/>
    </row>
    <row r="106" spans="1:1">
      <c r="A106" s="123"/>
    </row>
    <row r="107" spans="1:1">
      <c r="A107" s="123"/>
    </row>
    <row r="108" spans="1:1">
      <c r="A108" s="123"/>
    </row>
    <row r="109" spans="1:1">
      <c r="A109" s="123"/>
    </row>
    <row r="110" spans="1:1">
      <c r="A110" s="123"/>
    </row>
    <row r="111" spans="1:1">
      <c r="A111" s="123"/>
    </row>
    <row r="112" spans="1:1">
      <c r="A112" s="123"/>
    </row>
    <row r="113" spans="1:1">
      <c r="A113" s="123"/>
    </row>
    <row r="114" spans="1:1">
      <c r="A114" s="123"/>
    </row>
    <row r="115" spans="1:1">
      <c r="A115" s="123"/>
    </row>
    <row r="116" spans="1:1">
      <c r="A116" s="123"/>
    </row>
    <row r="117" spans="1:1">
      <c r="A117" s="123"/>
    </row>
    <row r="118" spans="1:1">
      <c r="A118" s="123"/>
    </row>
    <row r="119" spans="1:1">
      <c r="A119" s="123"/>
    </row>
    <row r="120" spans="1:1">
      <c r="A120" s="123"/>
    </row>
    <row r="121" spans="1:1">
      <c r="A121" s="123"/>
    </row>
    <row r="122" spans="1:1">
      <c r="A122" s="123"/>
    </row>
    <row r="123" spans="1:1">
      <c r="A123" s="123"/>
    </row>
    <row r="124" spans="1:1">
      <c r="A124" s="123"/>
    </row>
    <row r="125" spans="1:1">
      <c r="A125" s="123"/>
    </row>
    <row r="126" spans="1:1">
      <c r="A126" s="123"/>
    </row>
    <row r="127" spans="1:1">
      <c r="A127" s="123"/>
    </row>
    <row r="128" spans="1:1">
      <c r="A128" s="123"/>
    </row>
    <row r="129" spans="1:1">
      <c r="A129" s="123"/>
    </row>
    <row r="130" spans="1:1">
      <c r="A130" s="123"/>
    </row>
    <row r="131" spans="1:1">
      <c r="A131" s="123"/>
    </row>
    <row r="132" spans="1:1">
      <c r="A132" s="123"/>
    </row>
    <row r="133" spans="1:1">
      <c r="A133" s="123"/>
    </row>
    <row r="134" spans="1:1">
      <c r="A134" s="123"/>
    </row>
    <row r="135" spans="1:1">
      <c r="A135" s="123"/>
    </row>
    <row r="136" spans="1:1">
      <c r="A136" s="123"/>
    </row>
    <row r="137" spans="1:1">
      <c r="A137" s="123"/>
    </row>
    <row r="138" spans="1:1">
      <c r="A138" s="123"/>
    </row>
    <row r="139" spans="1:1">
      <c r="A139" s="123"/>
    </row>
    <row r="140" spans="1:1">
      <c r="A140" s="123"/>
    </row>
    <row r="141" spans="1:1">
      <c r="A141" s="123"/>
    </row>
    <row r="142" spans="1:1">
      <c r="A142" s="123"/>
    </row>
    <row r="143" spans="1:1">
      <c r="A143" s="123"/>
    </row>
    <row r="144" spans="1:1">
      <c r="A144" s="123"/>
    </row>
    <row r="145" spans="1:1">
      <c r="A145" s="123"/>
    </row>
    <row r="146" spans="1:1">
      <c r="A146" s="123"/>
    </row>
    <row r="147" spans="1:1">
      <c r="A147" s="123"/>
    </row>
    <row r="148" spans="1:1">
      <c r="A148" s="123"/>
    </row>
    <row r="149" spans="1:1">
      <c r="A149" s="123"/>
    </row>
    <row r="150" spans="1:1">
      <c r="A150" s="123"/>
    </row>
    <row r="151" spans="1:1">
      <c r="A151" s="123"/>
    </row>
    <row r="152" spans="1:1">
      <c r="A152" s="123"/>
    </row>
    <row r="153" spans="1:1">
      <c r="A153" s="123"/>
    </row>
    <row r="154" spans="1:1">
      <c r="A154" s="123"/>
    </row>
    <row r="155" spans="1:1">
      <c r="A155" s="123"/>
    </row>
    <row r="156" spans="1:1">
      <c r="A156" s="123"/>
    </row>
    <row r="157" spans="1:1">
      <c r="A157" s="123"/>
    </row>
    <row r="158" spans="1:1">
      <c r="A158" s="123"/>
    </row>
    <row r="159" spans="1:1">
      <c r="A159" s="123"/>
    </row>
    <row r="160" spans="1:1">
      <c r="A160" s="123"/>
    </row>
    <row r="161" spans="1:1">
      <c r="A161" s="123"/>
    </row>
    <row r="162" spans="1:1">
      <c r="A162" s="123"/>
    </row>
    <row r="163" spans="1:1">
      <c r="A163" s="123"/>
    </row>
    <row r="164" spans="1:1">
      <c r="A164" s="123"/>
    </row>
    <row r="165" spans="1:1">
      <c r="A165" s="123"/>
    </row>
    <row r="166" spans="1:1">
      <c r="A166" s="123"/>
    </row>
    <row r="167" spans="1:1">
      <c r="A167" s="123"/>
    </row>
    <row r="168" spans="1:1">
      <c r="A168" s="123"/>
    </row>
    <row r="169" spans="1:1">
      <c r="A169" s="123"/>
    </row>
    <row r="170" spans="1:1">
      <c r="A170" s="123"/>
    </row>
    <row r="171" spans="1:1">
      <c r="A171" s="123"/>
    </row>
    <row r="172" spans="1:1">
      <c r="A172" s="123"/>
    </row>
    <row r="173" spans="1:1">
      <c r="A173" s="123"/>
    </row>
    <row r="174" spans="1:1">
      <c r="A174" s="123"/>
    </row>
    <row r="175" spans="1:1">
      <c r="A175" s="123"/>
    </row>
    <row r="176" spans="1:1">
      <c r="A176" s="123"/>
    </row>
    <row r="177" spans="1:1">
      <c r="A177" s="123"/>
    </row>
    <row r="178" spans="1:1">
      <c r="A178" s="123"/>
    </row>
    <row r="179" spans="1:1">
      <c r="A179" s="123"/>
    </row>
    <row r="180" spans="1:1">
      <c r="A180" s="123"/>
    </row>
    <row r="181" spans="1:1">
      <c r="A181" s="123"/>
    </row>
    <row r="182" spans="1:1">
      <c r="A182" s="123"/>
    </row>
    <row r="183" spans="1:1">
      <c r="A183" s="123"/>
    </row>
    <row r="184" spans="1:1">
      <c r="A184" s="123"/>
    </row>
    <row r="185" spans="1:1">
      <c r="A185" s="123"/>
    </row>
    <row r="186" spans="1:1">
      <c r="A186" s="123"/>
    </row>
    <row r="187" spans="1:1">
      <c r="A187" s="123"/>
    </row>
    <row r="188" spans="1:1">
      <c r="A188" s="123"/>
    </row>
    <row r="189" spans="1:1">
      <c r="A189" s="123"/>
    </row>
    <row r="190" spans="1:1">
      <c r="A190" s="123"/>
    </row>
    <row r="191" spans="1:1">
      <c r="A191" s="123"/>
    </row>
    <row r="192" spans="1:1">
      <c r="A192" s="123"/>
    </row>
    <row r="193" spans="1:1">
      <c r="A193" s="123"/>
    </row>
    <row r="194" spans="1:1">
      <c r="A194" s="123"/>
    </row>
    <row r="195" spans="1:1">
      <c r="A195" s="123"/>
    </row>
    <row r="196" spans="1:1">
      <c r="A196" s="123"/>
    </row>
    <row r="197" spans="1:1">
      <c r="A197" s="123"/>
    </row>
    <row r="198" spans="1:1">
      <c r="A198" s="123"/>
    </row>
    <row r="199" spans="1:1">
      <c r="A199" s="123"/>
    </row>
    <row r="200" spans="1:1">
      <c r="A200" s="123"/>
    </row>
    <row r="201" spans="1:1">
      <c r="A201" s="123"/>
    </row>
    <row r="202" spans="1:1">
      <c r="A202" s="123"/>
    </row>
    <row r="203" spans="1:1">
      <c r="A203" s="123"/>
    </row>
    <row r="204" spans="1:1">
      <c r="A204" s="123"/>
    </row>
    <row r="205" spans="1:1">
      <c r="A205" s="123"/>
    </row>
    <row r="206" spans="1:1">
      <c r="A206" s="123"/>
    </row>
    <row r="207" spans="1:1">
      <c r="A207" s="123"/>
    </row>
    <row r="208" spans="1:1">
      <c r="A208" s="123"/>
    </row>
    <row r="209" spans="1:1">
      <c r="A209" s="123"/>
    </row>
    <row r="210" spans="1:1">
      <c r="A210" s="123"/>
    </row>
    <row r="211" spans="1:1">
      <c r="A211" s="123"/>
    </row>
    <row r="212" spans="1:1">
      <c r="A212" s="123"/>
    </row>
    <row r="213" spans="1:1">
      <c r="A213" s="123"/>
    </row>
    <row r="214" spans="1:1">
      <c r="A214" s="123"/>
    </row>
    <row r="215" spans="1:1">
      <c r="A215" s="123"/>
    </row>
    <row r="216" spans="1:1">
      <c r="A216" s="123"/>
    </row>
    <row r="217" spans="1:1">
      <c r="A217" s="123"/>
    </row>
    <row r="218" spans="1:1">
      <c r="A218" s="123"/>
    </row>
    <row r="219" spans="1:1">
      <c r="A219" s="123"/>
    </row>
    <row r="220" spans="1:1">
      <c r="A220" s="123"/>
    </row>
    <row r="221" spans="1:1">
      <c r="A221" s="123"/>
    </row>
    <row r="222" spans="1:1">
      <c r="A222" s="123"/>
    </row>
    <row r="223" spans="1:1">
      <c r="A223" s="123"/>
    </row>
    <row r="224" spans="1:1">
      <c r="A224" s="123"/>
    </row>
  </sheetData>
  <mergeCells count="4">
    <mergeCell ref="A2:G2"/>
    <mergeCell ref="A20:B20"/>
    <mergeCell ref="D20:E20"/>
    <mergeCell ref="F20:G20"/>
  </mergeCells>
  <printOptions horizontalCentered="1"/>
  <pageMargins left="0.59055118110236227" right="0.59055118110236227" top="0.98425196850393704" bottom="0.59055118110236227" header="0" footer="0"/>
  <pageSetup paperSize="9" scale="88" fitToHeight="0" orientation="landscape" blackAndWhite="1" r:id="rId1"/>
  <rowBreaks count="1" manualBreakCount="1">
    <brk id="14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5"/>
  <sheetViews>
    <sheetView view="pageBreakPreview" topLeftCell="A82" zoomScale="70" zoomScaleNormal="60" zoomScaleSheetLayoutView="70" workbookViewId="0">
      <selection activeCell="F90" sqref="F90"/>
    </sheetView>
  </sheetViews>
  <sheetFormatPr defaultColWidth="9.109375" defaultRowHeight="18"/>
  <cols>
    <col min="1" max="1" width="95" style="115" customWidth="1"/>
    <col min="2" max="2" width="17.109375" style="180" customWidth="1"/>
    <col min="3" max="6" width="30.6640625" style="180" customWidth="1"/>
    <col min="7" max="7" width="25.6640625" style="180" customWidth="1"/>
    <col min="8" max="8" width="21.6640625" style="180" customWidth="1"/>
    <col min="9" max="9" width="10" style="115" customWidth="1"/>
    <col min="10" max="10" width="9.5546875" style="115" customWidth="1"/>
    <col min="11" max="16384" width="9.109375" style="115"/>
  </cols>
  <sheetData>
    <row r="1" spans="1:8" ht="29.25" customHeight="1">
      <c r="A1" s="119"/>
      <c r="B1" s="450"/>
      <c r="C1" s="450"/>
      <c r="D1" s="450"/>
      <c r="E1" s="450"/>
      <c r="G1" s="147">
        <v>2022</v>
      </c>
      <c r="H1" s="148" t="s">
        <v>98</v>
      </c>
    </row>
    <row r="2" spans="1:8" ht="29.25" customHeight="1">
      <c r="A2" s="119" t="s">
        <v>14</v>
      </c>
      <c r="B2" s="450" t="s">
        <v>675</v>
      </c>
      <c r="C2" s="450"/>
      <c r="D2" s="450"/>
      <c r="E2" s="450"/>
      <c r="F2" s="450"/>
      <c r="G2" s="147"/>
      <c r="H2" s="148" t="s">
        <v>95</v>
      </c>
    </row>
    <row r="3" spans="1:8" ht="29.25" customHeight="1">
      <c r="A3" s="119" t="s">
        <v>15</v>
      </c>
      <c r="B3" s="450" t="s">
        <v>676</v>
      </c>
      <c r="C3" s="450"/>
      <c r="D3" s="450"/>
      <c r="E3" s="450"/>
      <c r="F3" s="450"/>
      <c r="G3" s="147"/>
      <c r="H3" s="148" t="s">
        <v>94</v>
      </c>
    </row>
    <row r="4" spans="1:8" ht="29.25" customHeight="1">
      <c r="A4" s="119" t="s">
        <v>20</v>
      </c>
      <c r="B4" s="450" t="s">
        <v>677</v>
      </c>
      <c r="C4" s="450"/>
      <c r="D4" s="450"/>
      <c r="E4" s="450"/>
      <c r="F4" s="450"/>
      <c r="G4" s="147"/>
      <c r="H4" s="148" t="s">
        <v>93</v>
      </c>
    </row>
    <row r="5" spans="1:8" ht="29.25" customHeight="1">
      <c r="A5" s="119" t="s">
        <v>404</v>
      </c>
      <c r="B5" s="450" t="s">
        <v>678</v>
      </c>
      <c r="C5" s="450"/>
      <c r="D5" s="450"/>
      <c r="E5" s="450"/>
      <c r="F5" s="450"/>
      <c r="G5" s="147"/>
      <c r="H5" s="148" t="s">
        <v>9</v>
      </c>
    </row>
    <row r="6" spans="1:8" ht="29.25" customHeight="1">
      <c r="A6" s="119" t="s">
        <v>17</v>
      </c>
      <c r="B6" s="450" t="s">
        <v>679</v>
      </c>
      <c r="C6" s="450"/>
      <c r="D6" s="450"/>
      <c r="E6" s="450"/>
      <c r="F6" s="450"/>
      <c r="G6" s="147"/>
      <c r="H6" s="148" t="s">
        <v>8</v>
      </c>
    </row>
    <row r="7" spans="1:8" ht="29.25" customHeight="1">
      <c r="A7" s="119" t="s">
        <v>16</v>
      </c>
      <c r="B7" s="450" t="s">
        <v>679</v>
      </c>
      <c r="C7" s="450"/>
      <c r="D7" s="450"/>
      <c r="E7" s="125"/>
      <c r="F7" s="125"/>
      <c r="G7" s="149"/>
      <c r="H7" s="148" t="s">
        <v>10</v>
      </c>
    </row>
    <row r="8" spans="1:8" ht="29.25" customHeight="1">
      <c r="A8" s="119" t="s">
        <v>407</v>
      </c>
      <c r="B8" s="125" t="s">
        <v>435</v>
      </c>
      <c r="C8" s="125"/>
      <c r="D8" s="125"/>
      <c r="E8" s="125"/>
      <c r="F8" s="125"/>
      <c r="G8" s="150"/>
      <c r="H8" s="151"/>
    </row>
    <row r="9" spans="1:8" ht="29.25" customHeight="1">
      <c r="A9" s="119" t="s">
        <v>21</v>
      </c>
      <c r="B9" s="450" t="s">
        <v>680</v>
      </c>
      <c r="C9" s="450"/>
      <c r="D9" s="125"/>
      <c r="E9" s="125"/>
      <c r="F9" s="125"/>
      <c r="G9" s="152"/>
      <c r="H9" s="147"/>
    </row>
    <row r="10" spans="1:8" ht="29.25" customHeight="1">
      <c r="A10" s="119" t="s">
        <v>81</v>
      </c>
      <c r="B10" s="450">
        <v>1716</v>
      </c>
      <c r="C10" s="450"/>
      <c r="D10" s="450"/>
      <c r="E10" s="450"/>
      <c r="F10" s="146"/>
      <c r="G10" s="153"/>
      <c r="H10" s="148"/>
    </row>
    <row r="11" spans="1:8" ht="29.25" customHeight="1">
      <c r="A11" s="119" t="s">
        <v>11</v>
      </c>
      <c r="B11" s="450" t="s">
        <v>681</v>
      </c>
      <c r="C11" s="450"/>
      <c r="D11" s="450"/>
      <c r="E11" s="450"/>
      <c r="F11" s="450"/>
      <c r="G11" s="153"/>
      <c r="H11" s="148"/>
    </row>
    <row r="12" spans="1:8" ht="29.25" customHeight="1">
      <c r="A12" s="119" t="s">
        <v>12</v>
      </c>
      <c r="B12" s="450" t="s">
        <v>682</v>
      </c>
      <c r="C12" s="450"/>
      <c r="D12" s="450"/>
      <c r="E12" s="450"/>
      <c r="F12" s="450"/>
      <c r="G12" s="153"/>
      <c r="H12" s="148"/>
    </row>
    <row r="13" spans="1:8" ht="29.25" customHeight="1">
      <c r="A13" s="119" t="s">
        <v>13</v>
      </c>
      <c r="B13" s="450" t="s">
        <v>570</v>
      </c>
      <c r="C13" s="450"/>
      <c r="D13" s="450"/>
      <c r="E13" s="450"/>
      <c r="F13" s="450"/>
      <c r="G13" s="153"/>
      <c r="H13" s="148"/>
    </row>
    <row r="14" spans="1:8" ht="19.5" customHeight="1">
      <c r="A14" s="114"/>
      <c r="B14" s="115"/>
      <c r="C14" s="115"/>
      <c r="D14" s="115"/>
      <c r="E14" s="115"/>
      <c r="F14" s="115"/>
      <c r="G14" s="115"/>
      <c r="H14" s="115"/>
    </row>
    <row r="15" spans="1:8" ht="30.75" customHeight="1">
      <c r="A15" s="467" t="s">
        <v>136</v>
      </c>
      <c r="B15" s="467"/>
      <c r="C15" s="467"/>
      <c r="D15" s="467"/>
      <c r="E15" s="467"/>
      <c r="F15" s="467"/>
      <c r="G15" s="467"/>
      <c r="H15" s="467"/>
    </row>
    <row r="16" spans="1:8" ht="38.25" customHeight="1">
      <c r="A16" s="467" t="s">
        <v>683</v>
      </c>
      <c r="B16" s="467"/>
      <c r="C16" s="467"/>
      <c r="D16" s="467"/>
      <c r="E16" s="467"/>
      <c r="F16" s="467"/>
      <c r="G16" s="467"/>
      <c r="H16" s="467"/>
    </row>
    <row r="17" spans="1:8" ht="20.399999999999999">
      <c r="A17" s="467" t="s">
        <v>424</v>
      </c>
      <c r="B17" s="467"/>
      <c r="C17" s="467"/>
      <c r="D17" s="467"/>
      <c r="E17" s="467"/>
      <c r="F17" s="467"/>
      <c r="G17" s="467"/>
      <c r="H17" s="467"/>
    </row>
    <row r="18" spans="1:8" ht="23.25" customHeight="1">
      <c r="A18" s="470"/>
      <c r="B18" s="470"/>
      <c r="C18" s="470"/>
      <c r="D18" s="470"/>
      <c r="E18" s="470"/>
      <c r="F18" s="470"/>
      <c r="G18" s="470"/>
      <c r="H18" s="470"/>
    </row>
    <row r="19" spans="1:8" ht="31.5" customHeight="1">
      <c r="A19" s="471" t="s">
        <v>122</v>
      </c>
      <c r="B19" s="471"/>
      <c r="C19" s="471"/>
      <c r="D19" s="471"/>
      <c r="E19" s="471"/>
      <c r="F19" s="471"/>
      <c r="G19" s="471"/>
      <c r="H19" s="471"/>
    </row>
    <row r="20" spans="1:8" ht="29.25" customHeight="1">
      <c r="B20" s="114"/>
      <c r="C20" s="114"/>
      <c r="D20" s="114"/>
      <c r="E20" s="114"/>
      <c r="F20" s="114"/>
      <c r="G20" s="114"/>
      <c r="H20" s="180" t="s">
        <v>350</v>
      </c>
    </row>
    <row r="21" spans="1:8" ht="43.5" customHeight="1">
      <c r="A21" s="468" t="s">
        <v>153</v>
      </c>
      <c r="B21" s="469" t="s">
        <v>18</v>
      </c>
      <c r="C21" s="469" t="s">
        <v>135</v>
      </c>
      <c r="D21" s="469"/>
      <c r="E21" s="478" t="s">
        <v>427</v>
      </c>
      <c r="F21" s="478"/>
      <c r="G21" s="478"/>
      <c r="H21" s="478"/>
    </row>
    <row r="22" spans="1:8" ht="51" customHeight="1">
      <c r="A22" s="468"/>
      <c r="B22" s="469"/>
      <c r="C22" s="257" t="s">
        <v>425</v>
      </c>
      <c r="D22" s="257" t="s">
        <v>426</v>
      </c>
      <c r="E22" s="113" t="s">
        <v>144</v>
      </c>
      <c r="F22" s="113" t="s">
        <v>140</v>
      </c>
      <c r="G22" s="113" t="s">
        <v>150</v>
      </c>
      <c r="H22" s="113" t="s">
        <v>151</v>
      </c>
    </row>
    <row r="23" spans="1:8" ht="28.5" customHeight="1" thickBot="1">
      <c r="A23" s="62">
        <v>1</v>
      </c>
      <c r="B23" s="257">
        <v>2</v>
      </c>
      <c r="C23" s="62">
        <v>3</v>
      </c>
      <c r="D23" s="257">
        <v>4</v>
      </c>
      <c r="E23" s="62">
        <v>5</v>
      </c>
      <c r="F23" s="257">
        <v>6</v>
      </c>
      <c r="G23" s="62">
        <v>7</v>
      </c>
      <c r="H23" s="257">
        <v>8</v>
      </c>
    </row>
    <row r="24" spans="1:8" s="24" customFormat="1" ht="33" customHeight="1" thickBot="1">
      <c r="A24" s="475" t="s">
        <v>75</v>
      </c>
      <c r="B24" s="476"/>
      <c r="C24" s="476"/>
      <c r="D24" s="476"/>
      <c r="E24" s="476"/>
      <c r="F24" s="476"/>
      <c r="G24" s="476"/>
      <c r="H24" s="477"/>
    </row>
    <row r="25" spans="1:8" s="24" customFormat="1" ht="30.75" customHeight="1">
      <c r="A25" s="120" t="s">
        <v>123</v>
      </c>
      <c r="B25" s="121">
        <v>1000</v>
      </c>
      <c r="C25" s="318">
        <f>'I. Фін результат'!C8</f>
        <v>186753</v>
      </c>
      <c r="D25" s="367">
        <f>'I. Фін результат'!D8</f>
        <v>117666</v>
      </c>
      <c r="E25" s="318">
        <f>'I. Фін результат'!E8</f>
        <v>273409.8</v>
      </c>
      <c r="F25" s="223">
        <f>'I. Фін результат'!F8</f>
        <v>117666</v>
      </c>
      <c r="G25" s="223">
        <f t="shared" ref="G25:G35" si="0">IF(F25="(    )",0,F25)-IF(E25="(    )",0,E25)</f>
        <v>-155743.79999999999</v>
      </c>
      <c r="H25" s="173">
        <f t="shared" ref="H25:H35" si="1">IF(IF(E25="(    )",0,E25)=0,0,IF(F25="(    )",0,F25)/IF(E25="(    )",0,E25))*100</f>
        <v>43.036496862950777</v>
      </c>
    </row>
    <row r="26" spans="1:8" s="24" customFormat="1" ht="30.75" customHeight="1">
      <c r="A26" s="120" t="s">
        <v>110</v>
      </c>
      <c r="B26" s="121">
        <v>1010</v>
      </c>
      <c r="C26" s="318">
        <f>'I. Фін результат'!C9</f>
        <v>-562737.69999999995</v>
      </c>
      <c r="D26" s="223">
        <f>'I. Фін результат'!D9</f>
        <v>-634675</v>
      </c>
      <c r="E26" s="318">
        <f>'I. Фін результат'!E9</f>
        <v>-948491.09999999986</v>
      </c>
      <c r="F26" s="223">
        <f>'I. Фін результат'!F9</f>
        <v>-634675</v>
      </c>
      <c r="G26" s="223">
        <f t="shared" si="0"/>
        <v>313816.09999999986</v>
      </c>
      <c r="H26" s="173">
        <f t="shared" si="1"/>
        <v>66.914175578452983</v>
      </c>
    </row>
    <row r="27" spans="1:8" s="24" customFormat="1" ht="29.25" customHeight="1">
      <c r="A27" s="87" t="s">
        <v>145</v>
      </c>
      <c r="B27" s="88">
        <v>1020</v>
      </c>
      <c r="C27" s="319">
        <f>SUM(C25:C26)</f>
        <v>-375984.69999999995</v>
      </c>
      <c r="D27" s="219">
        <f t="shared" ref="D27:F27" si="2">SUM(D25:D26)</f>
        <v>-517009</v>
      </c>
      <c r="E27" s="319">
        <f t="shared" si="2"/>
        <v>-675081.29999999981</v>
      </c>
      <c r="F27" s="219">
        <f t="shared" si="2"/>
        <v>-517009</v>
      </c>
      <c r="G27" s="273">
        <f t="shared" si="0"/>
        <v>158072.29999999981</v>
      </c>
      <c r="H27" s="174">
        <f t="shared" si="1"/>
        <v>76.584701724073838</v>
      </c>
    </row>
    <row r="28" spans="1:8" s="24" customFormat="1" ht="30.75" customHeight="1">
      <c r="A28" s="120" t="s">
        <v>351</v>
      </c>
      <c r="B28" s="121">
        <v>1030</v>
      </c>
      <c r="C28" s="318">
        <f>'I. Фін результат'!C19</f>
        <v>-32441.1</v>
      </c>
      <c r="D28" s="223">
        <f>'I. Фін результат'!D19</f>
        <v>-37571</v>
      </c>
      <c r="E28" s="318">
        <f>'I. Фін результат'!E19</f>
        <v>-41151</v>
      </c>
      <c r="F28" s="223">
        <f>'I. Фін результат'!F19</f>
        <v>-37571</v>
      </c>
      <c r="G28" s="223">
        <f t="shared" si="0"/>
        <v>3580</v>
      </c>
      <c r="H28" s="173">
        <f t="shared" si="1"/>
        <v>91.300332920220654</v>
      </c>
    </row>
    <row r="29" spans="1:8" s="24" customFormat="1" ht="30.75" customHeight="1">
      <c r="A29" s="120" t="s">
        <v>99</v>
      </c>
      <c r="B29" s="121">
        <v>1060</v>
      </c>
      <c r="C29" s="318">
        <f>'I. Фін результат'!C40</f>
        <v>-33105.4</v>
      </c>
      <c r="D29" s="223">
        <f>'I. Фін результат'!D40</f>
        <v>-23688</v>
      </c>
      <c r="E29" s="318">
        <f>'I. Фін результат'!E40</f>
        <v>-48614.3</v>
      </c>
      <c r="F29" s="223">
        <f>'I. Фін результат'!F40</f>
        <v>-23688</v>
      </c>
      <c r="G29" s="223">
        <f t="shared" si="0"/>
        <v>24926.300000000003</v>
      </c>
      <c r="H29" s="173">
        <f t="shared" si="1"/>
        <v>48.726403547927255</v>
      </c>
    </row>
    <row r="30" spans="1:8" s="24" customFormat="1" ht="30.75" customHeight="1">
      <c r="A30" s="120" t="s">
        <v>352</v>
      </c>
      <c r="B30" s="121">
        <v>1070</v>
      </c>
      <c r="C30" s="318">
        <f>'I. Фін результат'!C48</f>
        <v>430278</v>
      </c>
      <c r="D30" s="223">
        <f>'I. Фін результат'!D48</f>
        <v>575539</v>
      </c>
      <c r="E30" s="318">
        <f>'I. Фін результат'!E48</f>
        <v>774487.6</v>
      </c>
      <c r="F30" s="223">
        <f>'I. Фін результат'!F48</f>
        <v>575539</v>
      </c>
      <c r="G30" s="223">
        <f t="shared" si="0"/>
        <v>-198948.59999999998</v>
      </c>
      <c r="H30" s="173">
        <f t="shared" si="1"/>
        <v>74.312229143500815</v>
      </c>
    </row>
    <row r="31" spans="1:8" s="24" customFormat="1" ht="30.75" customHeight="1">
      <c r="A31" s="120" t="s">
        <v>27</v>
      </c>
      <c r="B31" s="121">
        <v>1080</v>
      </c>
      <c r="C31" s="318">
        <f>'I. Фін результат'!C52</f>
        <v>-6921.0000000000009</v>
      </c>
      <c r="D31" s="223">
        <f>'I. Фін результат'!D52</f>
        <v>-8396</v>
      </c>
      <c r="E31" s="318">
        <f>'I. Фін результат'!E52</f>
        <v>-8387.6</v>
      </c>
      <c r="F31" s="223">
        <f>'I. Фін результат'!F52</f>
        <v>-8396</v>
      </c>
      <c r="G31" s="223">
        <f t="shared" si="0"/>
        <v>-8.3999999999996362</v>
      </c>
      <c r="H31" s="173">
        <f t="shared" si="1"/>
        <v>100.1001478372836</v>
      </c>
    </row>
    <row r="32" spans="1:8" s="24" customFormat="1" ht="29.25" customHeight="1">
      <c r="A32" s="87" t="s">
        <v>4</v>
      </c>
      <c r="B32" s="88">
        <v>1100</v>
      </c>
      <c r="C32" s="319">
        <f>SUM(C27:C31)</f>
        <v>-18174.199999999953</v>
      </c>
      <c r="D32" s="219">
        <f t="shared" ref="D32:F32" si="3">SUM(D27:D31)</f>
        <v>-11125</v>
      </c>
      <c r="E32" s="319">
        <f t="shared" si="3"/>
        <v>1253.4000000001161</v>
      </c>
      <c r="F32" s="219">
        <f t="shared" si="3"/>
        <v>-11125</v>
      </c>
      <c r="G32" s="273">
        <f t="shared" si="0"/>
        <v>-12378.400000000116</v>
      </c>
      <c r="H32" s="174">
        <f t="shared" si="1"/>
        <v>-887.58576671445417</v>
      </c>
    </row>
    <row r="33" spans="1:8" s="24" customFormat="1" ht="26.25" customHeight="1">
      <c r="A33" s="90" t="s">
        <v>100</v>
      </c>
      <c r="B33" s="88">
        <v>1310</v>
      </c>
      <c r="C33" s="319">
        <f>'I. Фін результат'!C88</f>
        <v>10827.800000000047</v>
      </c>
      <c r="D33" s="219">
        <f>'I. Фін результат'!D88</f>
        <v>29292</v>
      </c>
      <c r="E33" s="319">
        <f>'I. Фін результат'!E88</f>
        <v>42075</v>
      </c>
      <c r="F33" s="219">
        <f>'I. Фін результат'!F88</f>
        <v>29292</v>
      </c>
      <c r="G33" s="273">
        <f t="shared" si="0"/>
        <v>-12783</v>
      </c>
      <c r="H33" s="174">
        <f t="shared" si="1"/>
        <v>69.618538324420669</v>
      </c>
    </row>
    <row r="34" spans="1:8" s="24" customFormat="1" ht="29.25" customHeight="1">
      <c r="A34" s="87" t="s">
        <v>132</v>
      </c>
      <c r="B34" s="88">
        <v>5010</v>
      </c>
      <c r="C34" s="319">
        <f>IF(C25=0,0,C33/C25*100)</f>
        <v>5.7979256022661199</v>
      </c>
      <c r="D34" s="219">
        <f t="shared" ref="D34:F34" si="4">IF(D25=0,0,D33/D25*100)</f>
        <v>24.894192035082352</v>
      </c>
      <c r="E34" s="320">
        <f t="shared" si="4"/>
        <v>15.388987519832867</v>
      </c>
      <c r="F34" s="219">
        <f t="shared" si="4"/>
        <v>24.894192035082352</v>
      </c>
      <c r="G34" s="273">
        <f t="shared" si="0"/>
        <v>9.5052045152494848</v>
      </c>
      <c r="H34" s="174">
        <f t="shared" si="1"/>
        <v>161.76627606591703</v>
      </c>
    </row>
    <row r="35" spans="1:8" s="24" customFormat="1" ht="30.75" customHeight="1">
      <c r="A35" s="120" t="s">
        <v>187</v>
      </c>
      <c r="B35" s="121">
        <v>1110</v>
      </c>
      <c r="C35" s="223">
        <f>'I. Фін результат'!C60</f>
        <v>0</v>
      </c>
      <c r="D35" s="223">
        <f>'I. Фін результат'!D60</f>
        <v>0</v>
      </c>
      <c r="E35" s="318">
        <f>'I. Фін результат'!E60</f>
        <v>0</v>
      </c>
      <c r="F35" s="223">
        <f>'I. Фін результат'!F60</f>
        <v>0</v>
      </c>
      <c r="G35" s="223">
        <f t="shared" si="0"/>
        <v>0</v>
      </c>
      <c r="H35" s="173">
        <f t="shared" si="1"/>
        <v>0</v>
      </c>
    </row>
    <row r="36" spans="1:8" s="24" customFormat="1" ht="30.75" customHeight="1">
      <c r="A36" s="120" t="s">
        <v>188</v>
      </c>
      <c r="B36" s="121">
        <v>1120</v>
      </c>
      <c r="C36" s="223" t="str">
        <f>'I. Фін результат'!C61</f>
        <v>(    )</v>
      </c>
      <c r="D36" s="223" t="str">
        <f>'I. Фін результат'!D61</f>
        <v>(    )</v>
      </c>
      <c r="E36" s="318" t="str">
        <f>'I. Фін результат'!E61</f>
        <v>(    )</v>
      </c>
      <c r="F36" s="223" t="str">
        <f>'I. Фін результат'!F61</f>
        <v>(    )</v>
      </c>
      <c r="G36" s="220">
        <f t="shared" ref="G36" si="5">IF(F36="(    )",0,F36)-IF(E36="(    )",0,E36)</f>
        <v>0</v>
      </c>
      <c r="H36" s="175">
        <f>IF(IF(E36="(    )",0,E36)=0,0,IF(F36="(    )",0,F36)/IF(E36="(    )",0,E36))*100</f>
        <v>0</v>
      </c>
    </row>
    <row r="37" spans="1:8" s="24" customFormat="1" ht="30.75" customHeight="1">
      <c r="A37" s="120" t="s">
        <v>189</v>
      </c>
      <c r="B37" s="121">
        <v>1130</v>
      </c>
      <c r="C37" s="318">
        <f>'I. Фін результат'!C62</f>
        <v>192</v>
      </c>
      <c r="D37" s="223">
        <f>'I. Фін результат'!D62</f>
        <v>2585</v>
      </c>
      <c r="E37" s="318">
        <f>'I. Фін результат'!E62</f>
        <v>155</v>
      </c>
      <c r="F37" s="223">
        <f>'I. Фін результат'!F62</f>
        <v>2585</v>
      </c>
      <c r="G37" s="223">
        <f t="shared" ref="G37:G58" si="6">IF(F37="(    )",0,F37)-IF(E37="(    )",0,E37)</f>
        <v>2430</v>
      </c>
      <c r="H37" s="173">
        <f t="shared" ref="H37:H58" si="7">IF(IF(E37="(    )",0,E37)=0,0,IF(F37="(    )",0,F37)/IF(E37="(    )",0,E37))*100</f>
        <v>1667.7419354838707</v>
      </c>
    </row>
    <row r="38" spans="1:8" s="24" customFormat="1" ht="30.75" customHeight="1">
      <c r="A38" s="120" t="s">
        <v>190</v>
      </c>
      <c r="B38" s="121">
        <v>1140</v>
      </c>
      <c r="C38" s="318">
        <f>'I. Фін результат'!C63</f>
        <v>-3988</v>
      </c>
      <c r="D38" s="223">
        <f>'I. Фін результат'!D63</f>
        <v>-7110</v>
      </c>
      <c r="E38" s="318">
        <f>'I. Фін результат'!E63</f>
        <v>-6895.5</v>
      </c>
      <c r="F38" s="223">
        <f>'I. Фін результат'!F63</f>
        <v>-7110</v>
      </c>
      <c r="G38" s="273">
        <f t="shared" si="6"/>
        <v>-214.5</v>
      </c>
      <c r="H38" s="173">
        <f t="shared" si="7"/>
        <v>103.11072438546877</v>
      </c>
    </row>
    <row r="39" spans="1:8" s="24" customFormat="1" ht="30.75" customHeight="1">
      <c r="A39" s="120" t="s">
        <v>353</v>
      </c>
      <c r="B39" s="121">
        <v>1150</v>
      </c>
      <c r="C39" s="318">
        <f>'I. Фін результат'!C64</f>
        <v>6237</v>
      </c>
      <c r="D39" s="223">
        <f>'I. Фін результат'!D64</f>
        <v>5717</v>
      </c>
      <c r="E39" s="318">
        <f>'I. Фін результат'!E64</f>
        <v>5517.9</v>
      </c>
      <c r="F39" s="223">
        <f>'I. Фін результат'!F64</f>
        <v>5717</v>
      </c>
      <c r="G39" s="272">
        <f t="shared" si="6"/>
        <v>199.10000000000036</v>
      </c>
      <c r="H39" s="173">
        <f t="shared" si="7"/>
        <v>103.60825676434877</v>
      </c>
    </row>
    <row r="40" spans="1:8" s="24" customFormat="1" ht="30.75" customHeight="1">
      <c r="A40" s="120" t="s">
        <v>354</v>
      </c>
      <c r="B40" s="121">
        <v>1160</v>
      </c>
      <c r="C40" s="318">
        <f>'I. Фін результат'!C67</f>
        <v>-24</v>
      </c>
      <c r="D40" s="223">
        <f>'I. Фін результат'!D67</f>
        <v>-4260</v>
      </c>
      <c r="E40" s="318">
        <f>'I. Фін результат'!E67</f>
        <v>-30</v>
      </c>
      <c r="F40" s="223">
        <f>'I. Фін результат'!F67</f>
        <v>-4260</v>
      </c>
      <c r="G40" s="272">
        <f t="shared" si="6"/>
        <v>-4230</v>
      </c>
      <c r="H40" s="173">
        <f t="shared" si="7"/>
        <v>14200</v>
      </c>
    </row>
    <row r="41" spans="1:8" s="24" customFormat="1" ht="29.25" customHeight="1">
      <c r="A41" s="87" t="s">
        <v>74</v>
      </c>
      <c r="B41" s="88">
        <v>1170</v>
      </c>
      <c r="C41" s="319">
        <f>SUM(C32,C35:C40)</f>
        <v>-15757.199999999953</v>
      </c>
      <c r="D41" s="219">
        <f t="shared" ref="D41:F41" si="8">SUM(D32,D35:D40)</f>
        <v>-14193</v>
      </c>
      <c r="E41" s="319">
        <f>SUM(E32,E35:E40)-1</f>
        <v>-0.19999999988431227</v>
      </c>
      <c r="F41" s="219">
        <f t="shared" si="8"/>
        <v>-14193</v>
      </c>
      <c r="G41" s="273">
        <f t="shared" si="6"/>
        <v>-14192.800000000116</v>
      </c>
      <c r="H41" s="174">
        <f t="shared" si="7"/>
        <v>7096500.0041048899</v>
      </c>
    </row>
    <row r="42" spans="1:8" s="24" customFormat="1" ht="30.75" customHeight="1">
      <c r="A42" s="120" t="s">
        <v>197</v>
      </c>
      <c r="B42" s="121">
        <v>1180</v>
      </c>
      <c r="C42" s="223" t="str">
        <f>'I. Фін результат'!C71</f>
        <v>(    )</v>
      </c>
      <c r="D42" s="223" t="str">
        <f>'I. Фін результат'!D71</f>
        <v>(    )</v>
      </c>
      <c r="E42" s="318" t="str">
        <f>'I. Фін результат'!E71</f>
        <v>(    )</v>
      </c>
      <c r="F42" s="223" t="str">
        <f>'I. Фін результат'!F71</f>
        <v>(    )</v>
      </c>
      <c r="G42" s="272">
        <f t="shared" si="6"/>
        <v>0</v>
      </c>
      <c r="H42" s="173">
        <f t="shared" si="7"/>
        <v>0</v>
      </c>
    </row>
    <row r="43" spans="1:8" s="24" customFormat="1" ht="30.75" customHeight="1">
      <c r="A43" s="120" t="s">
        <v>198</v>
      </c>
      <c r="B43" s="121">
        <v>1181</v>
      </c>
      <c r="C43" s="223">
        <f>'I. Фін результат'!C72</f>
        <v>0</v>
      </c>
      <c r="D43" s="223">
        <f>'I. Фін результат'!D72</f>
        <v>0</v>
      </c>
      <c r="E43" s="318">
        <f>'I. Фін результат'!E72</f>
        <v>0</v>
      </c>
      <c r="F43" s="223">
        <f>'I. Фін результат'!F72</f>
        <v>0</v>
      </c>
      <c r="G43" s="223">
        <f t="shared" si="6"/>
        <v>0</v>
      </c>
      <c r="H43" s="173">
        <f t="shared" si="7"/>
        <v>0</v>
      </c>
    </row>
    <row r="44" spans="1:8" s="24" customFormat="1" ht="30.75" customHeight="1">
      <c r="A44" s="120" t="s">
        <v>199</v>
      </c>
      <c r="B44" s="121">
        <v>1190</v>
      </c>
      <c r="C44" s="223">
        <f>'I. Фін результат'!C73</f>
        <v>0</v>
      </c>
      <c r="D44" s="223">
        <f>'I. Фін результат'!D73</f>
        <v>0</v>
      </c>
      <c r="E44" s="318">
        <f>'I. Фін результат'!E73</f>
        <v>0</v>
      </c>
      <c r="F44" s="223">
        <f>'I. Фін результат'!F73</f>
        <v>0</v>
      </c>
      <c r="G44" s="223">
        <f t="shared" si="6"/>
        <v>0</v>
      </c>
      <c r="H44" s="173">
        <f t="shared" si="7"/>
        <v>0</v>
      </c>
    </row>
    <row r="45" spans="1:8" s="24" customFormat="1" ht="30.75" customHeight="1">
      <c r="A45" s="120" t="s">
        <v>200</v>
      </c>
      <c r="B45" s="121">
        <v>1191</v>
      </c>
      <c r="C45" s="223" t="str">
        <f>'I. Фін результат'!C74</f>
        <v>(    )</v>
      </c>
      <c r="D45" s="223" t="str">
        <f>'I. Фін результат'!D74</f>
        <v>(    )</v>
      </c>
      <c r="E45" s="318" t="str">
        <f>'I. Фін результат'!E74</f>
        <v>(    )</v>
      </c>
      <c r="F45" s="223" t="str">
        <f>'I. Фін результат'!F74</f>
        <v>(    )</v>
      </c>
      <c r="G45" s="223">
        <f t="shared" si="6"/>
        <v>0</v>
      </c>
      <c r="H45" s="173">
        <f t="shared" si="7"/>
        <v>0</v>
      </c>
    </row>
    <row r="46" spans="1:8" s="24" customFormat="1" ht="29.25" customHeight="1">
      <c r="A46" s="87" t="s">
        <v>232</v>
      </c>
      <c r="B46" s="88">
        <v>1200</v>
      </c>
      <c r="C46" s="319">
        <f>SUM(C41:C45)</f>
        <v>-15757.199999999953</v>
      </c>
      <c r="D46" s="219">
        <f t="shared" ref="D46:F46" si="9">SUM(D41:D45)</f>
        <v>-14193</v>
      </c>
      <c r="E46" s="319">
        <f t="shared" si="9"/>
        <v>-0.19999999988431227</v>
      </c>
      <c r="F46" s="219">
        <f t="shared" si="9"/>
        <v>-14193</v>
      </c>
      <c r="G46" s="273">
        <f t="shared" si="6"/>
        <v>-14192.800000000116</v>
      </c>
      <c r="H46" s="174">
        <f t="shared" si="7"/>
        <v>7096500.0041048899</v>
      </c>
    </row>
    <row r="47" spans="1:8" s="24" customFormat="1" ht="30.75" customHeight="1">
      <c r="A47" s="120" t="s">
        <v>319</v>
      </c>
      <c r="B47" s="121">
        <v>1201</v>
      </c>
      <c r="C47" s="318" t="str">
        <f>'I. Фін результат'!C76</f>
        <v/>
      </c>
      <c r="D47" s="223" t="str">
        <f>'I. Фін результат'!D76</f>
        <v/>
      </c>
      <c r="E47" s="318">
        <f>'I. Фін результат'!E76</f>
        <v>0</v>
      </c>
      <c r="F47" s="223" t="str">
        <f>'I. Фін результат'!F76</f>
        <v/>
      </c>
      <c r="G47" s="272"/>
      <c r="H47" s="173">
        <f t="shared" si="7"/>
        <v>0</v>
      </c>
    </row>
    <row r="48" spans="1:8" s="24" customFormat="1" ht="30.75" customHeight="1">
      <c r="A48" s="120" t="s">
        <v>320</v>
      </c>
      <c r="B48" s="121">
        <v>1202</v>
      </c>
      <c r="C48" s="318">
        <f>'I. Фін результат'!C77</f>
        <v>-15757.199999999953</v>
      </c>
      <c r="D48" s="223">
        <f>'I. Фін результат'!D77</f>
        <v>-14193</v>
      </c>
      <c r="E48" s="318" t="str">
        <f>'I. Фін результат'!E77</f>
        <v/>
      </c>
      <c r="F48" s="223">
        <f>'I. Фін результат'!F77</f>
        <v>-14193</v>
      </c>
      <c r="G48" s="220">
        <f>IF(F48="",0,F48)-IF(E48="",0,E48)</f>
        <v>-14193</v>
      </c>
      <c r="H48" s="175">
        <f>IF(IF(E48="",0,E48)=0,0,IF(F48="",0,F48)/IF(E48="",0,E48))*100</f>
        <v>0</v>
      </c>
    </row>
    <row r="49" spans="1:8" s="24" customFormat="1" ht="29.25" customHeight="1">
      <c r="A49" s="87" t="s">
        <v>19</v>
      </c>
      <c r="B49" s="88">
        <v>1210</v>
      </c>
      <c r="C49" s="319">
        <f>SUM(C25,C30,C35,C37,C39,C43,C44)</f>
        <v>623460</v>
      </c>
      <c r="D49" s="219">
        <f>SUM(D25,D30,D35,D37,D39,D43,D44)</f>
        <v>701507</v>
      </c>
      <c r="E49" s="319">
        <f>SUM(E25,E30,E35,E37,E39,E43,E44)</f>
        <v>1053570.2999999998</v>
      </c>
      <c r="F49" s="219">
        <f>SUM(F25,F30,F35,F37,F39,F43,F44)</f>
        <v>701507</v>
      </c>
      <c r="G49" s="273">
        <f t="shared" si="6"/>
        <v>-352063.29999999981</v>
      </c>
      <c r="H49" s="174">
        <f t="shared" si="7"/>
        <v>66.583786577886656</v>
      </c>
    </row>
    <row r="50" spans="1:8" s="24" customFormat="1" ht="29.25" customHeight="1">
      <c r="A50" s="87" t="s">
        <v>89</v>
      </c>
      <c r="B50" s="88">
        <v>1220</v>
      </c>
      <c r="C50" s="319">
        <f>SUM(C26,C28,C29,C31,C36,C38,C40,C42,C45)</f>
        <v>-639217.19999999995</v>
      </c>
      <c r="D50" s="219">
        <f>SUM(D26,D28,D29,D31,D36,D38,D40,D42,D45)</f>
        <v>-715700</v>
      </c>
      <c r="E50" s="319">
        <f>SUM(E26,E28,E29,E31,E36,E38,E40,E42,E45)</f>
        <v>-1053569.5</v>
      </c>
      <c r="F50" s="219">
        <f>SUM(F26,F28,F29,F31,F36,F38,F40,F42,F45)</f>
        <v>-715700</v>
      </c>
      <c r="G50" s="273">
        <f t="shared" si="6"/>
        <v>337869.5</v>
      </c>
      <c r="H50" s="174">
        <f t="shared" si="7"/>
        <v>67.930971805846696</v>
      </c>
    </row>
    <row r="51" spans="1:8" s="24" customFormat="1" ht="30.75" customHeight="1">
      <c r="A51" s="120" t="s">
        <v>143</v>
      </c>
      <c r="B51" s="121">
        <v>1230</v>
      </c>
      <c r="C51" s="223">
        <f>'I. Фін результат'!C80</f>
        <v>0</v>
      </c>
      <c r="D51" s="223">
        <f>'I. Фін результат'!D80</f>
        <v>0</v>
      </c>
      <c r="E51" s="223">
        <f>'I. Фін результат'!E80</f>
        <v>0</v>
      </c>
      <c r="F51" s="223">
        <f>'I. Фін результат'!F80</f>
        <v>0</v>
      </c>
      <c r="G51" s="223">
        <f t="shared" si="6"/>
        <v>0</v>
      </c>
      <c r="H51" s="173">
        <f t="shared" si="7"/>
        <v>0</v>
      </c>
    </row>
    <row r="52" spans="1:8" s="24" customFormat="1" ht="29.25" customHeight="1">
      <c r="A52" s="87" t="s">
        <v>134</v>
      </c>
      <c r="B52" s="88"/>
      <c r="C52" s="219"/>
      <c r="D52" s="219"/>
      <c r="E52" s="219"/>
      <c r="F52" s="219"/>
      <c r="G52" s="273">
        <f t="shared" si="6"/>
        <v>0</v>
      </c>
      <c r="H52" s="174">
        <f t="shared" si="7"/>
        <v>0</v>
      </c>
    </row>
    <row r="53" spans="1:8" s="24" customFormat="1" ht="31.5" customHeight="1">
      <c r="A53" s="120" t="s">
        <v>415</v>
      </c>
      <c r="B53" s="121">
        <v>1400</v>
      </c>
      <c r="C53" s="318">
        <f>'I. Фін результат'!C90</f>
        <v>206057</v>
      </c>
      <c r="D53" s="223">
        <f>'I. Фін результат'!D90</f>
        <v>268191</v>
      </c>
      <c r="E53" s="318">
        <f>'I. Фін результат'!E90</f>
        <v>442564.6</v>
      </c>
      <c r="F53" s="223">
        <f>'I. Фін результат'!F90</f>
        <v>268191</v>
      </c>
      <c r="G53" s="223">
        <f t="shared" si="6"/>
        <v>-174373.59999999998</v>
      </c>
      <c r="H53" s="173">
        <f t="shared" si="7"/>
        <v>60.59928878179592</v>
      </c>
    </row>
    <row r="54" spans="1:8" s="24" customFormat="1" ht="30.75" customHeight="1">
      <c r="A54" s="120" t="s">
        <v>5</v>
      </c>
      <c r="B54" s="121">
        <v>1410</v>
      </c>
      <c r="C54" s="318">
        <f>'I. Фін результат'!C91</f>
        <v>295481</v>
      </c>
      <c r="D54" s="223">
        <f>'I. Фін результат'!D91</f>
        <v>295325</v>
      </c>
      <c r="E54" s="318">
        <f>'I. Фін результат'!E91</f>
        <v>375192.5</v>
      </c>
      <c r="F54" s="223">
        <f>'I. Фін результат'!F91</f>
        <v>295325</v>
      </c>
      <c r="G54" s="223">
        <f t="shared" si="6"/>
        <v>-79867.5</v>
      </c>
      <c r="H54" s="173">
        <f t="shared" si="7"/>
        <v>78.71292736395317</v>
      </c>
    </row>
    <row r="55" spans="1:8" s="24" customFormat="1" ht="35.25" customHeight="1">
      <c r="A55" s="120" t="s">
        <v>6</v>
      </c>
      <c r="B55" s="121">
        <v>1420</v>
      </c>
      <c r="C55" s="318">
        <f>'I. Фін результат'!C92</f>
        <v>68406</v>
      </c>
      <c r="D55" s="223">
        <f>'I. Фін результат'!D92</f>
        <v>70337</v>
      </c>
      <c r="E55" s="318">
        <f>'I. Фін результат'!E92</f>
        <v>88536.8</v>
      </c>
      <c r="F55" s="223">
        <f>'I. Фін результат'!F92</f>
        <v>70337</v>
      </c>
      <c r="G55" s="223">
        <f t="shared" si="6"/>
        <v>-18199.800000000003</v>
      </c>
      <c r="H55" s="173">
        <f t="shared" si="7"/>
        <v>79.443801899323219</v>
      </c>
    </row>
    <row r="56" spans="1:8" s="24" customFormat="1" ht="34.5" customHeight="1">
      <c r="A56" s="120" t="s">
        <v>7</v>
      </c>
      <c r="B56" s="121">
        <v>1430</v>
      </c>
      <c r="C56" s="318">
        <f>'I. Фін результат'!C93</f>
        <v>29002</v>
      </c>
      <c r="D56" s="223">
        <f>'I. Фін результат'!D93</f>
        <v>40417</v>
      </c>
      <c r="E56" s="318">
        <f>'I. Фін результат'!E93</f>
        <v>40821.5</v>
      </c>
      <c r="F56" s="223">
        <f>'I. Фін результат'!F93</f>
        <v>40417</v>
      </c>
      <c r="G56" s="223">
        <f t="shared" si="6"/>
        <v>-404.5</v>
      </c>
      <c r="H56" s="173">
        <f t="shared" si="7"/>
        <v>99.009100596499394</v>
      </c>
    </row>
    <row r="57" spans="1:8" s="24" customFormat="1" ht="33" customHeight="1">
      <c r="A57" s="120" t="s">
        <v>27</v>
      </c>
      <c r="B57" s="121">
        <v>1440</v>
      </c>
      <c r="C57" s="318">
        <f>'I. Фін результат'!C94</f>
        <v>35985</v>
      </c>
      <c r="D57" s="223">
        <f>'I. Фін результат'!D94</f>
        <v>29722</v>
      </c>
      <c r="E57" s="318">
        <f>'I. Фін результат'!E94</f>
        <v>99529.2</v>
      </c>
      <c r="F57" s="223">
        <f>'I. Фін результат'!F94</f>
        <v>29722</v>
      </c>
      <c r="G57" s="223">
        <f t="shared" si="6"/>
        <v>-69807.199999999997</v>
      </c>
      <c r="H57" s="173">
        <f t="shared" si="7"/>
        <v>29.862593088259526</v>
      </c>
    </row>
    <row r="58" spans="1:8" s="24" customFormat="1" ht="33.75" customHeight="1" thickBot="1">
      <c r="A58" s="87" t="s">
        <v>50</v>
      </c>
      <c r="B58" s="88">
        <v>1450</v>
      </c>
      <c r="C58" s="319">
        <f>SUM(C53:C57)</f>
        <v>634931</v>
      </c>
      <c r="D58" s="219">
        <f t="shared" ref="D58:F58" si="10">SUM(D53:D57)</f>
        <v>703992</v>
      </c>
      <c r="E58" s="319">
        <f t="shared" si="10"/>
        <v>1046644.6</v>
      </c>
      <c r="F58" s="219">
        <f t="shared" si="10"/>
        <v>703992</v>
      </c>
      <c r="G58" s="273">
        <f t="shared" si="6"/>
        <v>-342652.6</v>
      </c>
      <c r="H58" s="174">
        <f t="shared" si="7"/>
        <v>67.26180023285842</v>
      </c>
    </row>
    <row r="59" spans="1:8" s="24" customFormat="1" ht="33.75" customHeight="1" thickBot="1">
      <c r="A59" s="456" t="s">
        <v>103</v>
      </c>
      <c r="B59" s="457"/>
      <c r="C59" s="457"/>
      <c r="D59" s="457"/>
      <c r="E59" s="457"/>
      <c r="F59" s="457"/>
      <c r="G59" s="457"/>
      <c r="H59" s="458"/>
    </row>
    <row r="60" spans="1:8" s="24" customFormat="1" ht="37.5" customHeight="1">
      <c r="A60" s="472" t="s">
        <v>355</v>
      </c>
      <c r="B60" s="473"/>
      <c r="C60" s="473"/>
      <c r="D60" s="473"/>
      <c r="E60" s="473"/>
      <c r="F60" s="473"/>
      <c r="G60" s="473"/>
      <c r="H60" s="474"/>
    </row>
    <row r="61" spans="1:8" ht="50.25" customHeight="1">
      <c r="A61" s="91" t="s">
        <v>363</v>
      </c>
      <c r="B61" s="92">
        <v>2110</v>
      </c>
      <c r="C61" s="321">
        <f>'ІІ. Розр. з бюджетом'!C19</f>
        <v>5028</v>
      </c>
      <c r="D61" s="220">
        <f>'ІІ. Розр. з бюджетом'!D19</f>
        <v>4735</v>
      </c>
      <c r="E61" s="321">
        <f>'ІІ. Розр. з бюджетом'!E19</f>
        <v>6227.9</v>
      </c>
      <c r="F61" s="220">
        <f>'ІІ. Розр. з бюджетом'!F19</f>
        <v>4735</v>
      </c>
      <c r="G61" s="223">
        <f t="shared" ref="G61" si="11">IF(F61="(    )",0,F61)-IF(E61="(    )",0,E61)</f>
        <v>-1492.8999999999996</v>
      </c>
      <c r="H61" s="173">
        <f t="shared" ref="H61" si="12">IF(IF(E61="(    )",0,E61)=0,0,IF(F61="(    )",0,F61)/IF(E61="(    )",0,E61))*100</f>
        <v>76.028837971065684</v>
      </c>
    </row>
    <row r="62" spans="1:8" ht="51" customHeight="1">
      <c r="A62" s="91" t="s">
        <v>357</v>
      </c>
      <c r="B62" s="94">
        <v>2120</v>
      </c>
      <c r="C62" s="322">
        <f>'ІІ. Розр. з бюджетом'!C27</f>
        <v>53635</v>
      </c>
      <c r="D62" s="224">
        <f>'ІІ. Розр. з бюджетом'!D27</f>
        <v>53457</v>
      </c>
      <c r="E62" s="322">
        <f>'ІІ. Розр. з бюджетом'!E27</f>
        <v>67549.7</v>
      </c>
      <c r="F62" s="224">
        <f>'ІІ. Розр. з бюджетом'!F27</f>
        <v>53457</v>
      </c>
      <c r="G62" s="272">
        <f t="shared" ref="G62:G64" si="13">IF(F62="(    )",0,F62)-IF(E62="(    )",0,E62)</f>
        <v>-14092.699999999997</v>
      </c>
      <c r="H62" s="173">
        <f t="shared" ref="H62:H64" si="14">IF(IF(E62="(    )",0,E62)=0,0,IF(F62="(    )",0,F62)/IF(E62="(    )",0,E62))*100</f>
        <v>79.137287064191256</v>
      </c>
    </row>
    <row r="63" spans="1:8" ht="36.75" customHeight="1">
      <c r="A63" s="91" t="s">
        <v>358</v>
      </c>
      <c r="B63" s="94">
        <v>2130</v>
      </c>
      <c r="C63" s="322">
        <f>'ІІ. Розр. з бюджетом'!C36</f>
        <v>62381</v>
      </c>
      <c r="D63" s="224">
        <f>'ІІ. Розр. з бюджетом'!D36</f>
        <v>63103</v>
      </c>
      <c r="E63" s="322">
        <f>'ІІ. Розр. з бюджетом'!E36</f>
        <v>82592.399999999994</v>
      </c>
      <c r="F63" s="224">
        <f>'ІІ. Розр. з бюджетом'!F36</f>
        <v>63103</v>
      </c>
      <c r="G63" s="272">
        <f t="shared" si="13"/>
        <v>-19489.399999999994</v>
      </c>
      <c r="H63" s="173">
        <f t="shared" si="14"/>
        <v>76.402913585269346</v>
      </c>
    </row>
    <row r="64" spans="1:8" s="24" customFormat="1" ht="33" customHeight="1" thickBot="1">
      <c r="A64" s="90" t="s">
        <v>397</v>
      </c>
      <c r="B64" s="162">
        <v>2200</v>
      </c>
      <c r="C64" s="323">
        <f>'ІІ. Розр. з бюджетом'!C43</f>
        <v>121044</v>
      </c>
      <c r="D64" s="225">
        <f>'ІІ. Розр. з бюджетом'!D43</f>
        <v>121295</v>
      </c>
      <c r="E64" s="323">
        <f>'ІІ. Розр. з бюджетом'!E43</f>
        <v>156370</v>
      </c>
      <c r="F64" s="225">
        <f>'ІІ. Розр. з бюджетом'!F43</f>
        <v>121295</v>
      </c>
      <c r="G64" s="273">
        <f t="shared" si="13"/>
        <v>-35075</v>
      </c>
      <c r="H64" s="174">
        <f t="shared" si="14"/>
        <v>77.569226833791646</v>
      </c>
    </row>
    <row r="65" spans="1:8" s="24" customFormat="1" ht="33" customHeight="1" thickBot="1">
      <c r="A65" s="456" t="s">
        <v>239</v>
      </c>
      <c r="B65" s="457"/>
      <c r="C65" s="457"/>
      <c r="D65" s="457"/>
      <c r="E65" s="457"/>
      <c r="F65" s="457"/>
      <c r="G65" s="457"/>
      <c r="H65" s="458"/>
    </row>
    <row r="66" spans="1:8" s="24" customFormat="1" ht="37.5" customHeight="1">
      <c r="A66" s="95" t="s">
        <v>236</v>
      </c>
      <c r="B66" s="96">
        <v>3405</v>
      </c>
      <c r="C66" s="323">
        <f>'ІІІ. Рух грош. коштів'!C66</f>
        <v>2051</v>
      </c>
      <c r="D66" s="225">
        <f>'ІІІ. Рух грош. коштів'!D66</f>
        <v>4839.2000000000044</v>
      </c>
      <c r="E66" s="323">
        <f>'ІІІ. Рух грош. коштів'!E66</f>
        <v>369.8</v>
      </c>
      <c r="F66" s="225">
        <f>'ІІІ. Рух грош. коштів'!F66</f>
        <v>4839.2000000000044</v>
      </c>
      <c r="G66" s="273">
        <f t="shared" ref="G66" si="15">IF(F66="(    )",0,F66)-IF(E66="(    )",0,E66)</f>
        <v>4469.4000000000042</v>
      </c>
      <c r="H66" s="174">
        <f t="shared" ref="H66" si="16">IF(IF(E66="(    )",0,E66)=0,0,IF(F66="(    )",0,F66)/IF(E66="(    )",0,E66))*100</f>
        <v>1308.5992428339655</v>
      </c>
    </row>
    <row r="67" spans="1:8" s="24" customFormat="1" ht="33" customHeight="1">
      <c r="A67" s="97" t="s">
        <v>282</v>
      </c>
      <c r="B67" s="98">
        <v>3030</v>
      </c>
      <c r="C67" s="322">
        <f>'ІІІ. Рух грош. коштів'!C12</f>
        <v>425954.3</v>
      </c>
      <c r="D67" s="224">
        <f>'ІІІ. Рух грош. коштів'!D12</f>
        <v>572386</v>
      </c>
      <c r="E67" s="322">
        <f>'ІІІ. Рух грош. коштів'!E12</f>
        <v>772051.7</v>
      </c>
      <c r="F67" s="224">
        <f>'ІІІ. Рух грош. коштів'!F12</f>
        <v>572386</v>
      </c>
      <c r="G67" s="272">
        <f t="shared" ref="G67:G72" si="17">IF(F67="(    )",0,F67)-IF(E67="(    )",0,E67)</f>
        <v>-199665.69999999995</v>
      </c>
      <c r="H67" s="173">
        <f t="shared" ref="H67:H72" si="18">IF(IF(E67="(    )",0,E67)=0,0,IF(F67="(    )",0,F67)/IF(E67="(    )",0,E67))*100</f>
        <v>74.138299287470005</v>
      </c>
    </row>
    <row r="68" spans="1:8" s="24" customFormat="1" ht="33" customHeight="1">
      <c r="A68" s="97" t="s">
        <v>230</v>
      </c>
      <c r="B68" s="98">
        <v>3195</v>
      </c>
      <c r="C68" s="322">
        <f>'ІІІ. Рух грош. коштів'!C34</f>
        <v>10354</v>
      </c>
      <c r="D68" s="224">
        <f>'ІІІ. Рух грош. коштів'!D34</f>
        <v>28298</v>
      </c>
      <c r="E68" s="322">
        <f>'ІІІ. Рух грош. коштів'!E34</f>
        <v>24755.5</v>
      </c>
      <c r="F68" s="224">
        <f>'ІІІ. Рух грош. коштів'!F34</f>
        <v>28298</v>
      </c>
      <c r="G68" s="272">
        <f t="shared" si="17"/>
        <v>3542.5</v>
      </c>
      <c r="H68" s="173">
        <f t="shared" si="18"/>
        <v>114.30995132394821</v>
      </c>
    </row>
    <row r="69" spans="1:8" s="24" customFormat="1" ht="33" customHeight="1">
      <c r="A69" s="97" t="s">
        <v>104</v>
      </c>
      <c r="B69" s="98">
        <v>3295</v>
      </c>
      <c r="C69" s="322">
        <f>'ІІІ. Рух грош. коштів'!C52</f>
        <v>-65147</v>
      </c>
      <c r="D69" s="224">
        <f>'ІІІ. Рух грош. коштів'!D52</f>
        <v>-100117</v>
      </c>
      <c r="E69" s="322">
        <f>'ІІІ. Рух грош. коштів'!E52</f>
        <v>-126612.70000000001</v>
      </c>
      <c r="F69" s="224">
        <f>'ІІІ. Рух грош. коштів'!F52</f>
        <v>-100117</v>
      </c>
      <c r="G69" s="272">
        <f t="shared" si="17"/>
        <v>26495.700000000012</v>
      </c>
      <c r="H69" s="173">
        <f t="shared" si="18"/>
        <v>79.073426283461288</v>
      </c>
    </row>
    <row r="70" spans="1:8" s="24" customFormat="1" ht="33" customHeight="1">
      <c r="A70" s="97" t="s">
        <v>238</v>
      </c>
      <c r="B70" s="98">
        <v>3395</v>
      </c>
      <c r="C70" s="322">
        <f>'ІІІ. Рух грош. коштів'!C64</f>
        <v>57581.200000000004</v>
      </c>
      <c r="D70" s="224">
        <f>'ІІІ. Рух грош. коштів'!D64</f>
        <v>103251</v>
      </c>
      <c r="E70" s="322">
        <f>'ІІІ. Рух грош. коштів'!E64</f>
        <v>101856.9</v>
      </c>
      <c r="F70" s="224">
        <f>'ІІІ. Рух грош. коштів'!F64</f>
        <v>103251</v>
      </c>
      <c r="G70" s="272">
        <f t="shared" si="17"/>
        <v>1394.1000000000058</v>
      </c>
      <c r="H70" s="173">
        <f t="shared" si="18"/>
        <v>101.36868489027253</v>
      </c>
    </row>
    <row r="71" spans="1:8" s="24" customFormat="1" ht="33" customHeight="1">
      <c r="A71" s="97" t="s">
        <v>107</v>
      </c>
      <c r="B71" s="98">
        <v>3410</v>
      </c>
      <c r="C71" s="322">
        <f>'ІІІ. Рух грош. коштів'!C67</f>
        <v>0</v>
      </c>
      <c r="D71" s="224">
        <f>'ІІІ. Рух грош. коштів'!D67</f>
        <v>0</v>
      </c>
      <c r="E71" s="322">
        <f>'ІІІ. Рух грош. коштів'!E67</f>
        <v>0</v>
      </c>
      <c r="F71" s="224">
        <f>'ІІІ. Рух грош. коштів'!F67</f>
        <v>0</v>
      </c>
      <c r="G71" s="272">
        <f t="shared" si="17"/>
        <v>0</v>
      </c>
      <c r="H71" s="173">
        <f t="shared" si="18"/>
        <v>0</v>
      </c>
    </row>
    <row r="72" spans="1:8" s="24" customFormat="1" ht="37.5" customHeight="1" thickBot="1">
      <c r="A72" s="95" t="s">
        <v>237</v>
      </c>
      <c r="B72" s="96">
        <v>3415</v>
      </c>
      <c r="C72" s="323">
        <f>SUM(C66,C68:C71)</f>
        <v>4839.2000000000044</v>
      </c>
      <c r="D72" s="225">
        <f t="shared" ref="D72" si="19">SUM(D66,D68:D71)</f>
        <v>36271.200000000012</v>
      </c>
      <c r="E72" s="323">
        <f>ROUNDUP(SUM(E66,E68:E71),0)</f>
        <v>370</v>
      </c>
      <c r="F72" s="225">
        <f>SUM(F66,F68:F71)</f>
        <v>36271.200000000012</v>
      </c>
      <c r="G72" s="273">
        <f t="shared" si="17"/>
        <v>35901.200000000012</v>
      </c>
      <c r="H72" s="174">
        <f t="shared" si="18"/>
        <v>9803.0270270270303</v>
      </c>
    </row>
    <row r="73" spans="1:8" s="24" customFormat="1" ht="33" customHeight="1" thickBot="1">
      <c r="A73" s="459" t="s">
        <v>240</v>
      </c>
      <c r="B73" s="460"/>
      <c r="C73" s="460"/>
      <c r="D73" s="460"/>
      <c r="E73" s="460"/>
      <c r="F73" s="460"/>
      <c r="G73" s="460"/>
      <c r="H73" s="461"/>
    </row>
    <row r="74" spans="1:8" s="24" customFormat="1" ht="33" customHeight="1">
      <c r="A74" s="163" t="s">
        <v>191</v>
      </c>
      <c r="B74" s="168">
        <v>4000</v>
      </c>
      <c r="C74" s="324">
        <f>'IV. Кап. інвестиції'!C7</f>
        <v>161606.6</v>
      </c>
      <c r="D74" s="226">
        <f>'IV. Кап. інвестиції'!D7</f>
        <v>21962</v>
      </c>
      <c r="E74" s="324">
        <f>'IV. Кап. інвестиції'!E7</f>
        <v>126612.70000000001</v>
      </c>
      <c r="F74" s="226">
        <f>'IV. Кап. інвестиції'!F7</f>
        <v>21962</v>
      </c>
      <c r="G74" s="227">
        <f t="shared" ref="G74:G75" si="20">IF(F74="(    )",0,F74)-IF(E74="(    )",0,E74)</f>
        <v>-104650.70000000001</v>
      </c>
      <c r="H74" s="178">
        <f t="shared" ref="H74:H75" si="21">IF(IF(E74="(    )",0,E74)=0,0,IF(F74="(    )",0,F74)/IF(E74="(    )",0,E74))*100</f>
        <v>17.345811281174793</v>
      </c>
    </row>
    <row r="75" spans="1:8" s="24" customFormat="1" ht="33" customHeight="1">
      <c r="A75" s="164" t="s">
        <v>1</v>
      </c>
      <c r="B75" s="96" t="s">
        <v>129</v>
      </c>
      <c r="C75" s="321">
        <f>'IV. Кап. інвестиції'!C8</f>
        <v>2797.4</v>
      </c>
      <c r="D75" s="220">
        <f>'IV. Кап. інвестиції'!D8</f>
        <v>0</v>
      </c>
      <c r="E75" s="321">
        <f>'IV. Кап. інвестиції'!E8</f>
        <v>0</v>
      </c>
      <c r="F75" s="220">
        <f>'IV. Кап. інвестиції'!F8</f>
        <v>0</v>
      </c>
      <c r="G75" s="272">
        <f t="shared" si="20"/>
        <v>0</v>
      </c>
      <c r="H75" s="179">
        <f t="shared" si="21"/>
        <v>0</v>
      </c>
    </row>
    <row r="76" spans="1:8" s="24" customFormat="1" ht="33" customHeight="1">
      <c r="A76" s="164" t="s">
        <v>2</v>
      </c>
      <c r="B76" s="96">
        <v>4020</v>
      </c>
      <c r="C76" s="321">
        <f>'IV. Кап. інвестиції'!C9</f>
        <v>123868.40000000001</v>
      </c>
      <c r="D76" s="220">
        <f>'IV. Кап. інвестиції'!D9</f>
        <v>11839</v>
      </c>
      <c r="E76" s="321">
        <f>'IV. Кап. інвестиції'!E9</f>
        <v>33335.9</v>
      </c>
      <c r="F76" s="220">
        <f>'IV. Кап. інвестиції'!F9</f>
        <v>11839</v>
      </c>
      <c r="G76" s="272">
        <f t="shared" ref="G76:G79" si="22">IF(F76="(    )",0,F76)-IF(E76="(    )",0,E76)</f>
        <v>-21496.9</v>
      </c>
      <c r="H76" s="179">
        <f t="shared" ref="H76:H79" si="23">IF(IF(E76="(    )",0,E76)=0,0,IF(F76="(    )",0,F76)/IF(E76="(    )",0,E76))*100</f>
        <v>35.514265401564074</v>
      </c>
    </row>
    <row r="77" spans="1:8" s="24" customFormat="1" ht="33" customHeight="1">
      <c r="A77" s="164" t="s">
        <v>28</v>
      </c>
      <c r="B77" s="96">
        <v>4030</v>
      </c>
      <c r="C77" s="321">
        <f>'IV. Кап. інвестиції'!C10</f>
        <v>0</v>
      </c>
      <c r="D77" s="220">
        <f>'IV. Кап. інвестиції'!D10</f>
        <v>0</v>
      </c>
      <c r="E77" s="321">
        <f>'IV. Кап. інвестиції'!E10</f>
        <v>0</v>
      </c>
      <c r="F77" s="220">
        <f>'IV. Кап. інвестиції'!F10</f>
        <v>0</v>
      </c>
      <c r="G77" s="272">
        <f t="shared" si="22"/>
        <v>0</v>
      </c>
      <c r="H77" s="179">
        <f t="shared" si="23"/>
        <v>0</v>
      </c>
    </row>
    <row r="78" spans="1:8" s="24" customFormat="1" ht="33" customHeight="1">
      <c r="A78" s="164" t="s">
        <v>3</v>
      </c>
      <c r="B78" s="96">
        <v>4040</v>
      </c>
      <c r="C78" s="321">
        <f>'IV. Кап. інвестиції'!C11</f>
        <v>9</v>
      </c>
      <c r="D78" s="220">
        <f>'IV. Кап. інвестиції'!D11</f>
        <v>5</v>
      </c>
      <c r="E78" s="321">
        <f>'IV. Кап. інвестиції'!E11</f>
        <v>20</v>
      </c>
      <c r="F78" s="220">
        <f>'IV. Кап. інвестиції'!F11</f>
        <v>5</v>
      </c>
      <c r="G78" s="272">
        <f t="shared" si="22"/>
        <v>-15</v>
      </c>
      <c r="H78" s="179">
        <f t="shared" si="23"/>
        <v>25</v>
      </c>
    </row>
    <row r="79" spans="1:8" s="24" customFormat="1" ht="42">
      <c r="A79" s="164" t="s">
        <v>60</v>
      </c>
      <c r="B79" s="96">
        <v>4050</v>
      </c>
      <c r="C79" s="321">
        <f>'IV. Кап. інвестиції'!C12</f>
        <v>34931.800000000003</v>
      </c>
      <c r="D79" s="220">
        <f>'IV. Кап. інвестиції'!D12</f>
        <v>10118</v>
      </c>
      <c r="E79" s="321">
        <f>'IV. Кап. інвестиції'!E12</f>
        <v>80678.7</v>
      </c>
      <c r="F79" s="220">
        <f>'IV. Кап. інвестиції'!F12</f>
        <v>10118</v>
      </c>
      <c r="G79" s="272">
        <f t="shared" si="22"/>
        <v>-70560.7</v>
      </c>
      <c r="H79" s="179">
        <f t="shared" si="23"/>
        <v>12.541104405499842</v>
      </c>
    </row>
    <row r="80" spans="1:8" s="24" customFormat="1" ht="33" customHeight="1">
      <c r="A80" s="164" t="s">
        <v>201</v>
      </c>
      <c r="B80" s="96">
        <v>4060</v>
      </c>
      <c r="C80" s="321">
        <f>'IV. Кап. інвестиції'!C13</f>
        <v>0</v>
      </c>
      <c r="D80" s="220">
        <f>'IV. Кап. інвестиції'!D13</f>
        <v>0</v>
      </c>
      <c r="E80" s="321">
        <f>'IV. Кап. інвестиції'!E13</f>
        <v>12578.1</v>
      </c>
      <c r="F80" s="220">
        <f>'IV. Кап. інвестиції'!F13</f>
        <v>0</v>
      </c>
      <c r="G80" s="272">
        <f t="shared" ref="G80:G85" si="24">IF(F80="(    )",0,F80)-IF(E80="(    )",0,E80)</f>
        <v>-12578.1</v>
      </c>
      <c r="H80" s="179">
        <f t="shared" ref="H80:H85" si="25">IF(IF(E80="(    )",0,E80)=0,0,IF(F80="(    )",0,F80)/IF(E80="(    )",0,E80))*100</f>
        <v>0</v>
      </c>
    </row>
    <row r="81" spans="1:8" s="24" customFormat="1" ht="33" customHeight="1">
      <c r="A81" s="165" t="s">
        <v>192</v>
      </c>
      <c r="B81" s="96">
        <v>4000</v>
      </c>
      <c r="C81" s="319">
        <f>SUM(C82:C85)</f>
        <v>0</v>
      </c>
      <c r="D81" s="219">
        <f t="shared" ref="D81:F81" si="26">SUM(D82:D85)</f>
        <v>21962</v>
      </c>
      <c r="E81" s="319">
        <f t="shared" si="26"/>
        <v>126612.70000000001</v>
      </c>
      <c r="F81" s="219">
        <f t="shared" si="26"/>
        <v>21962</v>
      </c>
      <c r="G81" s="272">
        <f t="shared" si="24"/>
        <v>-104650.70000000001</v>
      </c>
      <c r="H81" s="179">
        <f t="shared" si="25"/>
        <v>17.345811281174793</v>
      </c>
    </row>
    <row r="82" spans="1:8" s="24" customFormat="1" ht="33" customHeight="1">
      <c r="A82" s="164" t="s">
        <v>295</v>
      </c>
      <c r="B82" s="96" t="s">
        <v>193</v>
      </c>
      <c r="C82" s="321"/>
      <c r="D82" s="220">
        <f>'6.2. Інша інфо_2'!N57</f>
        <v>0</v>
      </c>
      <c r="E82" s="321">
        <f>'6.2. Інша інфо_2'!M57</f>
        <v>0</v>
      </c>
      <c r="F82" s="220">
        <f>'6.2. Інша інфо_2'!N57</f>
        <v>0</v>
      </c>
      <c r="G82" s="272">
        <f t="shared" si="24"/>
        <v>0</v>
      </c>
      <c r="H82" s="179">
        <f t="shared" si="25"/>
        <v>0</v>
      </c>
    </row>
    <row r="83" spans="1:8" s="24" customFormat="1" ht="33" customHeight="1">
      <c r="A83" s="164" t="s">
        <v>296</v>
      </c>
      <c r="B83" s="96" t="s">
        <v>194</v>
      </c>
      <c r="C83" s="220"/>
      <c r="D83" s="220">
        <f>'6.2. Інша інфо_2'!R57</f>
        <v>19451</v>
      </c>
      <c r="E83" s="321">
        <f>'6.2. Інша інфо_2'!Q57</f>
        <v>113614.6</v>
      </c>
      <c r="F83" s="220">
        <f>'6.2. Інша інфо_2'!R57</f>
        <v>19451</v>
      </c>
      <c r="G83" s="272">
        <f t="shared" si="24"/>
        <v>-94163.6</v>
      </c>
      <c r="H83" s="179">
        <f t="shared" si="25"/>
        <v>17.12015885282349</v>
      </c>
    </row>
    <row r="84" spans="1:8" s="24" customFormat="1" ht="33" customHeight="1">
      <c r="A84" s="164" t="s">
        <v>161</v>
      </c>
      <c r="B84" s="96" t="s">
        <v>195</v>
      </c>
      <c r="C84" s="220"/>
      <c r="D84" s="220">
        <f>'6.2. Інша інфо_2'!V57</f>
        <v>2511</v>
      </c>
      <c r="E84" s="321">
        <f>'6.2. Інша інфо_2'!U57</f>
        <v>12998.1</v>
      </c>
      <c r="F84" s="220">
        <f>'6.2. Інша інфо_2'!V57</f>
        <v>2511</v>
      </c>
      <c r="G84" s="272">
        <f t="shared" si="24"/>
        <v>-10487.1</v>
      </c>
      <c r="H84" s="179">
        <f t="shared" si="25"/>
        <v>19.318208045791309</v>
      </c>
    </row>
    <row r="85" spans="1:8" s="24" customFormat="1" ht="33" customHeight="1" thickBot="1">
      <c r="A85" s="166" t="s">
        <v>297</v>
      </c>
      <c r="B85" s="167" t="s">
        <v>196</v>
      </c>
      <c r="C85" s="311"/>
      <c r="D85" s="311">
        <f>'6.2. Інша інфо_2'!Z57</f>
        <v>0</v>
      </c>
      <c r="E85" s="311">
        <f>'6.2. Інша інфо_2'!Y57</f>
        <v>0</v>
      </c>
      <c r="F85" s="311">
        <f>'6.2. Інша інфо_2'!Z57</f>
        <v>0</v>
      </c>
      <c r="G85" s="311">
        <f t="shared" si="24"/>
        <v>0</v>
      </c>
      <c r="H85" s="312">
        <f t="shared" si="25"/>
        <v>0</v>
      </c>
    </row>
    <row r="86" spans="1:8" s="24" customFormat="1" ht="33" customHeight="1" thickBot="1">
      <c r="A86" s="462" t="s">
        <v>127</v>
      </c>
      <c r="B86" s="463"/>
      <c r="C86" s="463"/>
      <c r="D86" s="463"/>
      <c r="E86" s="463"/>
      <c r="F86" s="463"/>
      <c r="G86" s="463"/>
      <c r="H86" s="464"/>
    </row>
    <row r="87" spans="1:8" s="24" customFormat="1" ht="33" customHeight="1">
      <c r="A87" s="97" t="s">
        <v>267</v>
      </c>
      <c r="B87" s="98">
        <v>5040</v>
      </c>
      <c r="C87" s="177">
        <f>' V. Коефіцієнти'!D11</f>
        <v>-8.4374548200028663</v>
      </c>
      <c r="D87" s="177">
        <f>' V. Коефіцієнти'!E11</f>
        <v>-12.062108000611902</v>
      </c>
      <c r="E87" s="325">
        <f>' V. Коефіцієнти'!F11</f>
        <v>-7.3150267431640082E-5</v>
      </c>
      <c r="F87" s="177">
        <f>' V. Коефіцієнти'!G11</f>
        <v>-12.062108000611902</v>
      </c>
      <c r="G87" s="176">
        <f t="shared" ref="G87" si="27">IF(F87="(    )",0,F87)-IF(E87="(    )",0,E87)</f>
        <v>-12.062034850344471</v>
      </c>
      <c r="H87" s="179">
        <f t="shared" ref="H87" si="28">IF(IF(E87="(    )",0,E87)=0,0,IF(F87="(    )",0,F87)/IF(E87="(    )",0,E87))*100</f>
        <v>16489492.689666659</v>
      </c>
    </row>
    <row r="88" spans="1:8" s="24" customFormat="1" ht="33" customHeight="1">
      <c r="A88" s="97" t="s">
        <v>268</v>
      </c>
      <c r="B88" s="98">
        <v>5020</v>
      </c>
      <c r="C88" s="177">
        <f>' V. Коефіцієнти'!D9</f>
        <v>-3.5067354192027778</v>
      </c>
      <c r="D88" s="177">
        <f>' V. Коефіцієнти'!E9</f>
        <v>-2.1713123030321571</v>
      </c>
      <c r="E88" s="325">
        <f>' V. Коефіцієнти'!F9</f>
        <v>-3.7889264812677804E-5</v>
      </c>
      <c r="F88" s="177">
        <f>' V. Коефіцієнти'!G9</f>
        <v>-2.1713123030321571</v>
      </c>
      <c r="G88" s="176">
        <f t="shared" ref="G88:G91" si="29">IF(F88="(    )",0,F88)-IF(E88="(    )",0,E88)</f>
        <v>-2.1712744137673443</v>
      </c>
      <c r="H88" s="179">
        <f t="shared" ref="H88:H91" si="30">IF(IF(E88="(    )",0,E88)=0,0,IF(F88="(    )",0,F88)/IF(E88="(    )",0,E88))*100</f>
        <v>5730679.4253385272</v>
      </c>
    </row>
    <row r="89" spans="1:8" s="24" customFormat="1" ht="33" customHeight="1">
      <c r="A89" s="97" t="s">
        <v>269</v>
      </c>
      <c r="B89" s="98">
        <v>5030</v>
      </c>
      <c r="C89" s="177">
        <f>' V. Коефіцієнти'!D10</f>
        <v>-5.421552436003287</v>
      </c>
      <c r="D89" s="177">
        <f>' V. Коефіцієнти'!E10</f>
        <v>-3.0688828297811153</v>
      </c>
      <c r="E89" s="325">
        <f>' V. Коефіцієнти'!F10</f>
        <v>-5.5428685421233699E-5</v>
      </c>
      <c r="F89" s="177">
        <f>' V. Коефіцієнти'!G10</f>
        <v>-3.0688828297811153</v>
      </c>
      <c r="G89" s="176">
        <f t="shared" si="29"/>
        <v>-3.0688274010956942</v>
      </c>
      <c r="H89" s="179">
        <f t="shared" si="30"/>
        <v>5536632.8940673079</v>
      </c>
    </row>
    <row r="90" spans="1:8" s="24" customFormat="1" ht="33" customHeight="1">
      <c r="A90" s="97" t="s">
        <v>133</v>
      </c>
      <c r="B90" s="98">
        <v>5110</v>
      </c>
      <c r="C90" s="177">
        <f>' V. Коефіцієнти'!D14</f>
        <v>1.8313684223791911</v>
      </c>
      <c r="D90" s="177">
        <f>' V. Коефіцієнти'!E14</f>
        <v>2.4190993780697672</v>
      </c>
      <c r="E90" s="325">
        <f>' V. Коефіцієнти'!F14</f>
        <v>2.1602346883793331</v>
      </c>
      <c r="F90" s="177">
        <f>' V. Коефіцієнти'!G14</f>
        <v>2.4190993780697672</v>
      </c>
      <c r="G90" s="176">
        <f t="shared" si="29"/>
        <v>0.25886468969043408</v>
      </c>
      <c r="H90" s="179">
        <f t="shared" si="30"/>
        <v>111.9831743783654</v>
      </c>
    </row>
    <row r="91" spans="1:8" s="24" customFormat="1" ht="33" customHeight="1" thickBot="1">
      <c r="A91" s="97" t="s">
        <v>270</v>
      </c>
      <c r="B91" s="98">
        <v>5220</v>
      </c>
      <c r="C91" s="177">
        <f>' V. Коефіцієнти'!D19</f>
        <v>0.33297209381955145</v>
      </c>
      <c r="D91" s="177">
        <f>' V. Коефіцієнти'!E19</f>
        <v>0.38368115518478174</v>
      </c>
      <c r="E91" s="325">
        <f>' V. Коефіцієнти'!F19</f>
        <v>0.3626077281960573</v>
      </c>
      <c r="F91" s="177">
        <f>' V. Коефіцієнти'!G19</f>
        <v>0.38368115518478174</v>
      </c>
      <c r="G91" s="176">
        <f t="shared" si="29"/>
        <v>2.1073426988724442E-2</v>
      </c>
      <c r="H91" s="179">
        <f t="shared" si="30"/>
        <v>105.81163206133608</v>
      </c>
    </row>
    <row r="92" spans="1:8" s="24" customFormat="1" ht="33" customHeight="1" thickBot="1">
      <c r="A92" s="456" t="s">
        <v>241</v>
      </c>
      <c r="B92" s="457"/>
      <c r="C92" s="457"/>
      <c r="D92" s="457"/>
      <c r="E92" s="457"/>
      <c r="F92" s="457"/>
      <c r="G92" s="457"/>
      <c r="H92" s="458"/>
    </row>
    <row r="93" spans="1:8" s="24" customFormat="1" ht="33" customHeight="1">
      <c r="A93" s="169" t="s">
        <v>261</v>
      </c>
      <c r="B93" s="170">
        <v>6000</v>
      </c>
      <c r="C93" s="326">
        <v>401432</v>
      </c>
      <c r="D93" s="228">
        <v>429231</v>
      </c>
      <c r="E93" s="326">
        <v>469304</v>
      </c>
      <c r="F93" s="228">
        <f>D93</f>
        <v>429231</v>
      </c>
      <c r="G93" s="272">
        <f t="shared" ref="G93" si="31">IF(F93="(    )",0,F93)-IF(E93="(    )",0,E93)</f>
        <v>-40073</v>
      </c>
      <c r="H93" s="179">
        <f t="shared" ref="H93" si="32">IF(IF(E93="(    )",0,E93)=0,0,IF(F93="(    )",0,F93)/IF(E93="(    )",0,E93))*100</f>
        <v>91.461185074067131</v>
      </c>
    </row>
    <row r="94" spans="1:8" s="24" customFormat="1" ht="33" customHeight="1">
      <c r="A94" s="171" t="s">
        <v>262</v>
      </c>
      <c r="B94" s="170">
        <v>6001</v>
      </c>
      <c r="C94" s="318">
        <f>C95-C96</f>
        <v>389611</v>
      </c>
      <c r="D94" s="223">
        <f t="shared" ref="D94:F94" si="33">D95-D96</f>
        <v>371162</v>
      </c>
      <c r="E94" s="318">
        <f t="shared" si="33"/>
        <v>417643</v>
      </c>
      <c r="F94" s="223">
        <f t="shared" si="33"/>
        <v>371162</v>
      </c>
      <c r="G94" s="272">
        <f t="shared" ref="G94:G107" si="34">IF(F94="(    )",0,F94)-IF(E94="(    )",0,E94)</f>
        <v>-46481</v>
      </c>
      <c r="H94" s="173">
        <f t="shared" ref="H94:H107" si="35">IF(IF(E94="(    )",0,E94)=0,0,IF(F94="(    )",0,F94)/IF(E94="(    )",0,E94))*100</f>
        <v>88.870638320287895</v>
      </c>
    </row>
    <row r="95" spans="1:8" s="24" customFormat="1" ht="33" customHeight="1">
      <c r="A95" s="171" t="s">
        <v>263</v>
      </c>
      <c r="B95" s="170">
        <v>6002</v>
      </c>
      <c r="C95" s="318">
        <v>584100</v>
      </c>
      <c r="D95" s="223">
        <v>602224</v>
      </c>
      <c r="E95" s="318">
        <v>655237</v>
      </c>
      <c r="F95" s="223">
        <f>D95</f>
        <v>602224</v>
      </c>
      <c r="G95" s="272">
        <f t="shared" si="34"/>
        <v>-53013</v>
      </c>
      <c r="H95" s="173">
        <f t="shared" si="35"/>
        <v>91.909339674041604</v>
      </c>
    </row>
    <row r="96" spans="1:8" s="24" customFormat="1" ht="27" customHeight="1">
      <c r="A96" s="171" t="s">
        <v>264</v>
      </c>
      <c r="B96" s="170">
        <v>6003</v>
      </c>
      <c r="C96" s="318">
        <v>194489</v>
      </c>
      <c r="D96" s="223">
        <v>231062</v>
      </c>
      <c r="E96" s="318">
        <v>237594</v>
      </c>
      <c r="F96" s="223">
        <f t="shared" ref="F96:F98" si="36">D96</f>
        <v>231062</v>
      </c>
      <c r="G96" s="272">
        <f t="shared" si="34"/>
        <v>-6532</v>
      </c>
      <c r="H96" s="173">
        <f t="shared" si="35"/>
        <v>97.250772325900485</v>
      </c>
    </row>
    <row r="97" spans="1:8" s="24" customFormat="1" ht="33" customHeight="1">
      <c r="A97" s="171" t="s">
        <v>265</v>
      </c>
      <c r="B97" s="170">
        <v>6010</v>
      </c>
      <c r="C97" s="318">
        <v>47909</v>
      </c>
      <c r="D97" s="223">
        <v>224429</v>
      </c>
      <c r="E97" s="318">
        <v>58550</v>
      </c>
      <c r="F97" s="223">
        <f t="shared" si="36"/>
        <v>224429</v>
      </c>
      <c r="G97" s="272">
        <f t="shared" si="34"/>
        <v>165879</v>
      </c>
      <c r="H97" s="173">
        <f t="shared" si="35"/>
        <v>383.31169940222031</v>
      </c>
    </row>
    <row r="98" spans="1:8" s="24" customFormat="1" ht="33" customHeight="1">
      <c r="A98" s="171" t="s">
        <v>337</v>
      </c>
      <c r="B98" s="46">
        <v>6011</v>
      </c>
      <c r="C98" s="318">
        <v>4839</v>
      </c>
      <c r="D98" s="223">
        <v>36271</v>
      </c>
      <c r="E98" s="318">
        <v>370</v>
      </c>
      <c r="F98" s="223">
        <f t="shared" si="36"/>
        <v>36271</v>
      </c>
      <c r="G98" s="272">
        <f t="shared" si="34"/>
        <v>35901</v>
      </c>
      <c r="H98" s="173">
        <f t="shared" si="35"/>
        <v>9802.9729729729715</v>
      </c>
    </row>
    <row r="99" spans="1:8" s="24" customFormat="1" ht="27.75" customHeight="1">
      <c r="A99" s="172" t="s">
        <v>146</v>
      </c>
      <c r="B99" s="46">
        <v>6020</v>
      </c>
      <c r="C99" s="326">
        <f>C93+C97</f>
        <v>449341</v>
      </c>
      <c r="D99" s="228">
        <f t="shared" ref="D99:F99" si="37">D93+D97</f>
        <v>653660</v>
      </c>
      <c r="E99" s="326">
        <f t="shared" si="37"/>
        <v>527854</v>
      </c>
      <c r="F99" s="228">
        <f t="shared" si="37"/>
        <v>653660</v>
      </c>
      <c r="G99" s="273">
        <f t="shared" si="34"/>
        <v>125806</v>
      </c>
      <c r="H99" s="174">
        <f t="shared" si="35"/>
        <v>123.83348425890492</v>
      </c>
    </row>
    <row r="100" spans="1:8" s="24" customFormat="1" ht="33" customHeight="1">
      <c r="A100" s="171" t="s">
        <v>101</v>
      </c>
      <c r="B100" s="170">
        <v>6030</v>
      </c>
      <c r="C100" s="318">
        <v>290640</v>
      </c>
      <c r="D100" s="223">
        <v>462481</v>
      </c>
      <c r="E100" s="318">
        <v>360824</v>
      </c>
      <c r="F100" s="223">
        <f>D100</f>
        <v>462481</v>
      </c>
      <c r="G100" s="272">
        <f t="shared" si="34"/>
        <v>101657</v>
      </c>
      <c r="H100" s="173">
        <f t="shared" si="35"/>
        <v>128.17356938562844</v>
      </c>
    </row>
    <row r="101" spans="1:8" s="24" customFormat="1" ht="33" customHeight="1">
      <c r="A101" s="171" t="s">
        <v>108</v>
      </c>
      <c r="B101" s="170">
        <v>6040</v>
      </c>
      <c r="C101" s="318">
        <v>33750</v>
      </c>
      <c r="D101" s="223"/>
      <c r="E101" s="223"/>
      <c r="F101" s="223"/>
      <c r="G101" s="272">
        <f t="shared" si="34"/>
        <v>0</v>
      </c>
      <c r="H101" s="173">
        <f t="shared" si="35"/>
        <v>0</v>
      </c>
    </row>
    <row r="102" spans="1:8" s="24" customFormat="1" ht="33" customHeight="1">
      <c r="A102" s="171" t="s">
        <v>109</v>
      </c>
      <c r="B102" s="46">
        <v>6050</v>
      </c>
      <c r="C102" s="318">
        <v>124951</v>
      </c>
      <c r="D102" s="223">
        <v>191179</v>
      </c>
      <c r="E102" s="318">
        <v>167030</v>
      </c>
      <c r="F102" s="223">
        <f>D102</f>
        <v>191179</v>
      </c>
      <c r="G102" s="272">
        <f t="shared" si="34"/>
        <v>24149</v>
      </c>
      <c r="H102" s="173">
        <f t="shared" si="35"/>
        <v>114.45788181763754</v>
      </c>
    </row>
    <row r="103" spans="1:8" s="24" customFormat="1" ht="27.75" customHeight="1">
      <c r="A103" s="172" t="s">
        <v>147</v>
      </c>
      <c r="B103" s="46">
        <v>6060</v>
      </c>
      <c r="C103" s="326">
        <f>SUM(C101:C102)</f>
        <v>158701</v>
      </c>
      <c r="D103" s="228">
        <f t="shared" ref="D103:F103" si="38">SUM(D101:D102)</f>
        <v>191179</v>
      </c>
      <c r="E103" s="326">
        <f t="shared" si="38"/>
        <v>167030</v>
      </c>
      <c r="F103" s="228">
        <f t="shared" si="38"/>
        <v>191179</v>
      </c>
      <c r="G103" s="273">
        <f t="shared" si="34"/>
        <v>24149</v>
      </c>
      <c r="H103" s="174">
        <f t="shared" si="35"/>
        <v>114.45788181763754</v>
      </c>
    </row>
    <row r="104" spans="1:8" s="24" customFormat="1" ht="28.5" customHeight="1">
      <c r="A104" s="171" t="s">
        <v>326</v>
      </c>
      <c r="B104" s="170">
        <v>6070</v>
      </c>
      <c r="C104" s="318"/>
      <c r="D104" s="223"/>
      <c r="E104" s="223"/>
      <c r="F104" s="223"/>
      <c r="G104" s="272">
        <f t="shared" si="34"/>
        <v>0</v>
      </c>
      <c r="H104" s="174">
        <f t="shared" si="35"/>
        <v>0</v>
      </c>
    </row>
    <row r="105" spans="1:8" s="24" customFormat="1" ht="28.5" customHeight="1">
      <c r="A105" s="171" t="s">
        <v>327</v>
      </c>
      <c r="B105" s="46">
        <v>6080</v>
      </c>
      <c r="C105" s="318"/>
      <c r="D105" s="223">
        <v>3485</v>
      </c>
      <c r="E105" s="318">
        <v>55063</v>
      </c>
      <c r="F105" s="223">
        <f>D105</f>
        <v>3485</v>
      </c>
      <c r="G105" s="272">
        <f t="shared" si="34"/>
        <v>-51578</v>
      </c>
      <c r="H105" s="173">
        <f t="shared" si="35"/>
        <v>6.3291139240506329</v>
      </c>
    </row>
    <row r="106" spans="1:8" s="24" customFormat="1" ht="27.75" customHeight="1">
      <c r="A106" s="172" t="s">
        <v>328</v>
      </c>
      <c r="B106" s="46">
        <v>6090</v>
      </c>
      <c r="C106" s="326">
        <f>C100+C103</f>
        <v>449341</v>
      </c>
      <c r="D106" s="228">
        <f t="shared" ref="D106:F106" si="39">D100+D103</f>
        <v>653660</v>
      </c>
      <c r="E106" s="326">
        <f t="shared" si="39"/>
        <v>527854</v>
      </c>
      <c r="F106" s="228">
        <f t="shared" si="39"/>
        <v>653660</v>
      </c>
      <c r="G106" s="273">
        <f t="shared" si="34"/>
        <v>125806</v>
      </c>
      <c r="H106" s="174">
        <f t="shared" si="35"/>
        <v>123.83348425890492</v>
      </c>
    </row>
    <row r="107" spans="1:8" s="24" customFormat="1" ht="27.75" customHeight="1" thickBot="1">
      <c r="A107" s="172" t="s">
        <v>329</v>
      </c>
      <c r="B107" s="59">
        <v>6099</v>
      </c>
      <c r="C107" s="228">
        <f>C99-C106</f>
        <v>0</v>
      </c>
      <c r="D107" s="228">
        <f>D99-D106</f>
        <v>0</v>
      </c>
      <c r="E107" s="228">
        <f>E99-E106</f>
        <v>0</v>
      </c>
      <c r="F107" s="228">
        <f>F99-F106</f>
        <v>0</v>
      </c>
      <c r="G107" s="273">
        <f t="shared" si="34"/>
        <v>0</v>
      </c>
      <c r="H107" s="174">
        <f t="shared" si="35"/>
        <v>0</v>
      </c>
    </row>
    <row r="108" spans="1:8" s="24" customFormat="1" ht="33" customHeight="1" thickBot="1">
      <c r="A108" s="456" t="s">
        <v>242</v>
      </c>
      <c r="B108" s="457"/>
      <c r="C108" s="457"/>
      <c r="D108" s="457"/>
      <c r="E108" s="457"/>
      <c r="F108" s="457"/>
      <c r="G108" s="457"/>
      <c r="H108" s="458"/>
    </row>
    <row r="109" spans="1:8" s="24" customFormat="1" ht="27.75" customHeight="1">
      <c r="A109" s="95" t="s">
        <v>283</v>
      </c>
      <c r="B109" s="96" t="s">
        <v>243</v>
      </c>
      <c r="C109" s="323">
        <f>SUM(C110:C112)</f>
        <v>130753</v>
      </c>
      <c r="D109" s="225">
        <f t="shared" ref="D109:F109" si="40">SUM(D110:D112)</f>
        <v>1383.4</v>
      </c>
      <c r="E109" s="323">
        <f t="shared" si="40"/>
        <v>83856</v>
      </c>
      <c r="F109" s="225">
        <f t="shared" si="40"/>
        <v>1383.4</v>
      </c>
      <c r="G109" s="273">
        <f t="shared" ref="G109" si="41">IF(F109="(    )",0,F109)-IF(E109="(    )",0,E109)</f>
        <v>-82472.600000000006</v>
      </c>
      <c r="H109" s="174">
        <f t="shared" ref="H109" si="42">IF(IF(E109="(    )",0,E109)=0,0,IF(F109="(    )",0,F109)/IF(E109="(    )",0,E109))*100</f>
        <v>1.649732875405457</v>
      </c>
    </row>
    <row r="110" spans="1:8" s="24" customFormat="1" ht="30" customHeight="1">
      <c r="A110" s="97" t="s">
        <v>298</v>
      </c>
      <c r="B110" s="98" t="s">
        <v>245</v>
      </c>
      <c r="C110" s="354">
        <v>124753</v>
      </c>
      <c r="D110" s="224">
        <f>'6.1. Інша інфо_1'!$H$60</f>
        <v>0</v>
      </c>
      <c r="E110" s="322">
        <v>76383</v>
      </c>
      <c r="F110" s="224">
        <f>'6.1. Інша інфо_1'!$H$60</f>
        <v>0</v>
      </c>
      <c r="G110" s="272">
        <f t="shared" ref="G110:G116" si="43">IF(F110="(    )",0,F110)-IF(E110="(    )",0,E110)</f>
        <v>-76383</v>
      </c>
      <c r="H110" s="173">
        <f t="shared" ref="H110:H116" si="44">IF(IF(E110="(    )",0,E110)=0,0,IF(F110="(    )",0,F110)/IF(E110="(    )",0,E110))*100</f>
        <v>0</v>
      </c>
    </row>
    <row r="111" spans="1:8" s="24" customFormat="1" ht="29.25" customHeight="1">
      <c r="A111" s="97" t="s">
        <v>299</v>
      </c>
      <c r="B111" s="98" t="s">
        <v>246</v>
      </c>
      <c r="C111" s="322">
        <v>6000</v>
      </c>
      <c r="D111" s="224">
        <f>'6.1. Інша інфо_1'!$H$64</f>
        <v>1383.4</v>
      </c>
      <c r="E111" s="322">
        <v>3000</v>
      </c>
      <c r="F111" s="224">
        <f>'6.1. Інша інфо_1'!$H$64</f>
        <v>1383.4</v>
      </c>
      <c r="G111" s="273">
        <f t="shared" si="43"/>
        <v>-1616.6</v>
      </c>
      <c r="H111" s="173">
        <f t="shared" si="44"/>
        <v>46.113333333333337</v>
      </c>
    </row>
    <row r="112" spans="1:8" s="24" customFormat="1" ht="33" customHeight="1">
      <c r="A112" s="97" t="s">
        <v>300</v>
      </c>
      <c r="B112" s="98" t="s">
        <v>247</v>
      </c>
      <c r="C112" s="322"/>
      <c r="D112" s="224">
        <f>'6.1. Інша інфо_1'!$H$68</f>
        <v>0</v>
      </c>
      <c r="E112" s="322">
        <v>4473</v>
      </c>
      <c r="F112" s="224">
        <f>'6.1. Інша інфо_1'!$H$68</f>
        <v>0</v>
      </c>
      <c r="G112" s="273">
        <f t="shared" si="43"/>
        <v>-4473</v>
      </c>
      <c r="H112" s="173">
        <f t="shared" si="44"/>
        <v>0</v>
      </c>
    </row>
    <row r="113" spans="1:8" s="24" customFormat="1" ht="27.75" customHeight="1">
      <c r="A113" s="95" t="s">
        <v>284</v>
      </c>
      <c r="B113" s="96" t="s">
        <v>244</v>
      </c>
      <c r="C113" s="323">
        <f>SUM(C114:C116)</f>
        <v>54073</v>
      </c>
      <c r="D113" s="225">
        <f t="shared" ref="D113:F113" si="45">SUM(D114:D116)</f>
        <v>81754.400000000009</v>
      </c>
      <c r="E113" s="323">
        <f t="shared" si="45"/>
        <v>81523.87000000001</v>
      </c>
      <c r="F113" s="225">
        <f t="shared" si="45"/>
        <v>81754.400000000009</v>
      </c>
      <c r="G113" s="273">
        <f t="shared" si="43"/>
        <v>230.52999999999884</v>
      </c>
      <c r="H113" s="174">
        <f t="shared" si="44"/>
        <v>100.2827760752771</v>
      </c>
    </row>
    <row r="114" spans="1:8" s="24" customFormat="1" ht="29.25" customHeight="1">
      <c r="A114" s="97" t="s">
        <v>298</v>
      </c>
      <c r="B114" s="98" t="s">
        <v>248</v>
      </c>
      <c r="C114" s="322">
        <v>48370</v>
      </c>
      <c r="D114" s="224">
        <f>'6.1. Інша інфо_1'!$L$60</f>
        <v>76382.7</v>
      </c>
      <c r="E114" s="322">
        <f>'6.1. Інша інфо_1'!$J$60</f>
        <v>76382.73000000001</v>
      </c>
      <c r="F114" s="224">
        <f>'6.1. Інша інфо_1'!$L$60</f>
        <v>76382.7</v>
      </c>
      <c r="G114" s="272">
        <f t="shared" si="43"/>
        <v>-3.0000000013387762E-2</v>
      </c>
      <c r="H114" s="173">
        <f t="shared" si="44"/>
        <v>99.999960724106074</v>
      </c>
    </row>
    <row r="115" spans="1:8" s="24" customFormat="1" ht="28.5" customHeight="1">
      <c r="A115" s="97" t="s">
        <v>299</v>
      </c>
      <c r="B115" s="98" t="s">
        <v>249</v>
      </c>
      <c r="C115" s="322">
        <v>3500</v>
      </c>
      <c r="D115" s="224">
        <f>'6.1. Інша інфо_1'!$L$64</f>
        <v>3230.6</v>
      </c>
      <c r="E115" s="322">
        <f>'6.1. Інша інфо_1'!$J$64</f>
        <v>3000</v>
      </c>
      <c r="F115" s="224">
        <f>'6.1. Інша інфо_1'!$L$64</f>
        <v>3230.6</v>
      </c>
      <c r="G115" s="273">
        <f t="shared" si="43"/>
        <v>230.59999999999991</v>
      </c>
      <c r="H115" s="173">
        <f t="shared" si="44"/>
        <v>107.68666666666667</v>
      </c>
    </row>
    <row r="116" spans="1:8" s="24" customFormat="1" ht="26.25" customHeight="1" thickBot="1">
      <c r="A116" s="97" t="s">
        <v>300</v>
      </c>
      <c r="B116" s="98" t="s">
        <v>250</v>
      </c>
      <c r="C116" s="322">
        <v>2203</v>
      </c>
      <c r="D116" s="224">
        <f>'6.1. Інша інфо_1'!$L$68</f>
        <v>2141.1</v>
      </c>
      <c r="E116" s="322">
        <f>'6.1. Інша інфо_1'!$J$68</f>
        <v>2141.14</v>
      </c>
      <c r="F116" s="224">
        <f>'6.1. Інша інфо_1'!$L$68</f>
        <v>2141.1</v>
      </c>
      <c r="G116" s="273">
        <f t="shared" si="43"/>
        <v>-3.999999999996362E-2</v>
      </c>
      <c r="H116" s="173">
        <f t="shared" si="44"/>
        <v>99.998131836311501</v>
      </c>
    </row>
    <row r="117" spans="1:8" s="24" customFormat="1" ht="26.25" customHeight="1" thickBot="1">
      <c r="A117" s="453" t="s">
        <v>251</v>
      </c>
      <c r="B117" s="454"/>
      <c r="C117" s="454"/>
      <c r="D117" s="454"/>
      <c r="E117" s="454"/>
      <c r="F117" s="454"/>
      <c r="G117" s="454"/>
      <c r="H117" s="455"/>
    </row>
    <row r="118" spans="1:8" s="24" customFormat="1" ht="64.5" customHeight="1">
      <c r="A118" s="90" t="s">
        <v>405</v>
      </c>
      <c r="B118" s="99" t="s">
        <v>252</v>
      </c>
      <c r="C118" s="219">
        <f>SUM(C119:C121)</f>
        <v>1499</v>
      </c>
      <c r="D118" s="219">
        <f>SUM(D119:D121)</f>
        <v>1429</v>
      </c>
      <c r="E118" s="319">
        <v>1716</v>
      </c>
      <c r="F118" s="219">
        <f>SUM(F119:F121)</f>
        <v>1429</v>
      </c>
      <c r="G118" s="273">
        <f t="shared" ref="G118" si="46">IF(F118="(    )",0,F118)-IF(E118="(    )",0,E118)</f>
        <v>-287</v>
      </c>
      <c r="H118" s="174">
        <f t="shared" ref="H118" si="47">IF(IF(E118="(    )",0,E118)=0,0,IF(F118="(    )",0,F118)/IF(E118="(    )",0,E118))*100</f>
        <v>83.275058275058285</v>
      </c>
    </row>
    <row r="119" spans="1:8" s="24" customFormat="1" ht="27" customHeight="1">
      <c r="A119" s="97" t="s">
        <v>157</v>
      </c>
      <c r="B119" s="98" t="s">
        <v>253</v>
      </c>
      <c r="C119" s="224">
        <f>'6.1. Інша інфо_1'!C11</f>
        <v>1</v>
      </c>
      <c r="D119" s="224">
        <f>'6.1. Інша інфо_1'!I11</f>
        <v>1</v>
      </c>
      <c r="E119" s="322">
        <f>'6.1. Інша інфо_1'!F11</f>
        <v>1</v>
      </c>
      <c r="F119" s="224">
        <f>'6.1. Інша інфо_1'!I11</f>
        <v>1</v>
      </c>
      <c r="G119" s="272">
        <f t="shared" ref="G119:G126" si="48">IF(F119="(    )",0,F119)-IF(E119="(    )",0,E119)</f>
        <v>0</v>
      </c>
      <c r="H119" s="173">
        <f t="shared" ref="H119:H126" si="49">IF(IF(E119="(    )",0,E119)=0,0,IF(F119="(    )",0,F119)/IF(E119="(    )",0,E119))*100</f>
        <v>100</v>
      </c>
    </row>
    <row r="120" spans="1:8" s="24" customFormat="1" ht="28.5" customHeight="1">
      <c r="A120" s="97" t="s">
        <v>156</v>
      </c>
      <c r="B120" s="98" t="s">
        <v>254</v>
      </c>
      <c r="C120" s="224">
        <f>'6.1. Інша інфо_1'!C12</f>
        <v>252</v>
      </c>
      <c r="D120" s="224">
        <f>'6.1. Інша інфо_1'!I12</f>
        <v>231</v>
      </c>
      <c r="E120" s="322">
        <f>'6.1. Інша інфо_1'!F12</f>
        <v>263</v>
      </c>
      <c r="F120" s="224">
        <f>'6.1. Інша інфо_1'!I12</f>
        <v>231</v>
      </c>
      <c r="G120" s="272">
        <f t="shared" si="48"/>
        <v>-32</v>
      </c>
      <c r="H120" s="173">
        <f t="shared" si="49"/>
        <v>87.832699619771859</v>
      </c>
    </row>
    <row r="121" spans="1:8" s="24" customFormat="1" ht="27" customHeight="1">
      <c r="A121" s="97" t="s">
        <v>158</v>
      </c>
      <c r="B121" s="98" t="s">
        <v>255</v>
      </c>
      <c r="C121" s="224">
        <f>'6.1. Інша інфо_1'!C13</f>
        <v>1246</v>
      </c>
      <c r="D121" s="224">
        <f>'6.1. Інша інфо_1'!I13</f>
        <v>1197</v>
      </c>
      <c r="E121" s="322">
        <f>'6.1. Інша інфо_1'!F13</f>
        <v>1452</v>
      </c>
      <c r="F121" s="224">
        <f>'6.1. Інша інфо_1'!I13</f>
        <v>1197</v>
      </c>
      <c r="G121" s="272">
        <f t="shared" si="48"/>
        <v>-255</v>
      </c>
      <c r="H121" s="173">
        <f t="shared" si="49"/>
        <v>82.438016528925615</v>
      </c>
    </row>
    <row r="122" spans="1:8" s="24" customFormat="1" ht="27.75" customHeight="1">
      <c r="A122" s="95" t="s">
        <v>5</v>
      </c>
      <c r="B122" s="96" t="s">
        <v>256</v>
      </c>
      <c r="C122" s="225">
        <f>C54</f>
        <v>295481</v>
      </c>
      <c r="D122" s="225">
        <f t="shared" ref="D122:F122" si="50">D54</f>
        <v>295325</v>
      </c>
      <c r="E122" s="323">
        <f t="shared" si="50"/>
        <v>375192.5</v>
      </c>
      <c r="F122" s="225">
        <f t="shared" si="50"/>
        <v>295325</v>
      </c>
      <c r="G122" s="273">
        <f t="shared" si="48"/>
        <v>-79867.5</v>
      </c>
      <c r="H122" s="174">
        <f t="shared" si="49"/>
        <v>78.71292736395317</v>
      </c>
    </row>
    <row r="123" spans="1:8" s="24" customFormat="1" ht="44.25" customHeight="1">
      <c r="A123" s="90" t="s">
        <v>416</v>
      </c>
      <c r="B123" s="99" t="s">
        <v>257</v>
      </c>
      <c r="C123" s="219">
        <f>'6.1. Інша інфо_1'!C22</f>
        <v>16427</v>
      </c>
      <c r="D123" s="219">
        <f>'6.1. Інша інфо_1'!I22</f>
        <v>17222</v>
      </c>
      <c r="E123" s="319">
        <f>'6.1. Інша інфо_1'!F22</f>
        <v>18220</v>
      </c>
      <c r="F123" s="273">
        <f>'6.1. Інша інфо_1'!I22</f>
        <v>17222</v>
      </c>
      <c r="G123" s="273">
        <f t="shared" si="48"/>
        <v>-998</v>
      </c>
      <c r="H123" s="104">
        <f t="shared" si="49"/>
        <v>94.522502744237102</v>
      </c>
    </row>
    <row r="124" spans="1:8" s="24" customFormat="1" ht="28.5" customHeight="1">
      <c r="A124" s="97" t="s">
        <v>157</v>
      </c>
      <c r="B124" s="98" t="s">
        <v>258</v>
      </c>
      <c r="C124" s="224">
        <f>'6.1. Інша інфо_1'!C23</f>
        <v>82333</v>
      </c>
      <c r="D124" s="224">
        <f>'6.1. Інша інфо_1'!I23</f>
        <v>140500</v>
      </c>
      <c r="E124" s="322">
        <f>'6.1. Інша інфо_1'!F23</f>
        <v>141917</v>
      </c>
      <c r="F124" s="223">
        <f>'6.1. Інша інфо_1'!I23</f>
        <v>140500</v>
      </c>
      <c r="G124" s="272">
        <f t="shared" si="48"/>
        <v>-1417</v>
      </c>
      <c r="H124" s="103">
        <f t="shared" si="49"/>
        <v>99.001529062762046</v>
      </c>
    </row>
    <row r="125" spans="1:8" s="24" customFormat="1" ht="30" customHeight="1">
      <c r="A125" s="97" t="s">
        <v>156</v>
      </c>
      <c r="B125" s="98" t="s">
        <v>259</v>
      </c>
      <c r="C125" s="224">
        <f>'6.1. Інша інфо_1'!C24</f>
        <v>18103</v>
      </c>
      <c r="D125" s="224">
        <f>'6.1. Інша інфо_1'!I24</f>
        <v>22916</v>
      </c>
      <c r="E125" s="322">
        <f>'6.1. Інша інфо_1'!F24</f>
        <v>25616</v>
      </c>
      <c r="F125" s="223">
        <f>'6.1. Інша інфо_1'!I24</f>
        <v>22916</v>
      </c>
      <c r="G125" s="272">
        <f t="shared" si="48"/>
        <v>-2700</v>
      </c>
      <c r="H125" s="103">
        <f t="shared" si="49"/>
        <v>89.459712679575262</v>
      </c>
    </row>
    <row r="126" spans="1:8" s="24" customFormat="1" ht="33" customHeight="1">
      <c r="A126" s="97" t="s">
        <v>158</v>
      </c>
      <c r="B126" s="96" t="s">
        <v>260</v>
      </c>
      <c r="C126" s="224">
        <f>'6.1. Інша інфо_1'!C25</f>
        <v>16035</v>
      </c>
      <c r="D126" s="224">
        <f>'6.1. Інша інфо_1'!I25</f>
        <v>16020</v>
      </c>
      <c r="E126" s="322">
        <f>'6.1. Інша інфо_1'!F25</f>
        <v>16796</v>
      </c>
      <c r="F126" s="223">
        <f>'6.1. Інша інфо_1'!I25</f>
        <v>16020</v>
      </c>
      <c r="G126" s="272">
        <f t="shared" si="48"/>
        <v>-776</v>
      </c>
      <c r="H126" s="103">
        <f t="shared" si="49"/>
        <v>95.379852345796621</v>
      </c>
    </row>
    <row r="127" spans="1:8" s="24" customFormat="1" ht="33" customHeight="1">
      <c r="A127" s="126"/>
      <c r="B127" s="127"/>
      <c r="C127" s="128"/>
      <c r="D127" s="128"/>
      <c r="E127" s="128"/>
      <c r="F127" s="129"/>
      <c r="G127" s="129"/>
      <c r="H127" s="130"/>
    </row>
    <row r="128" spans="1:8" s="24" customFormat="1" ht="33" customHeight="1">
      <c r="A128" s="126"/>
      <c r="B128" s="127"/>
      <c r="C128" s="128"/>
      <c r="D128" s="128"/>
      <c r="E128" s="128"/>
      <c r="F128" s="129"/>
      <c r="G128" s="129"/>
      <c r="H128" s="130"/>
    </row>
    <row r="129" spans="1:9" s="24" customFormat="1" ht="33" customHeight="1">
      <c r="A129" s="126"/>
      <c r="B129" s="127"/>
      <c r="C129" s="128"/>
      <c r="D129" s="128"/>
      <c r="E129" s="128"/>
      <c r="F129" s="129"/>
      <c r="G129" s="129"/>
      <c r="H129" s="130"/>
    </row>
    <row r="130" spans="1:9" s="60" customFormat="1" ht="31.2" customHeight="1">
      <c r="A130" s="465" t="s">
        <v>569</v>
      </c>
      <c r="B130" s="465"/>
      <c r="C130" s="466" t="s">
        <v>80</v>
      </c>
      <c r="D130" s="466"/>
      <c r="E130" s="466"/>
      <c r="F130" s="195"/>
      <c r="G130" s="394" t="s">
        <v>570</v>
      </c>
      <c r="H130" s="399"/>
      <c r="I130" s="394"/>
    </row>
    <row r="131" spans="1:9" s="124" customFormat="1" ht="20.100000000000001" hidden="1" customHeight="1">
      <c r="A131" s="258" t="s">
        <v>65</v>
      </c>
      <c r="C131" s="452" t="s">
        <v>66</v>
      </c>
      <c r="D131" s="452"/>
      <c r="E131" s="452"/>
      <c r="F131" s="452"/>
      <c r="G131" s="451" t="s">
        <v>77</v>
      </c>
      <c r="H131" s="451"/>
      <c r="I131" s="258"/>
    </row>
    <row r="132" spans="1:9">
      <c r="A132" s="122"/>
    </row>
    <row r="133" spans="1:9">
      <c r="A133" s="122"/>
    </row>
    <row r="134" spans="1:9">
      <c r="A134" s="122"/>
    </row>
    <row r="135" spans="1:9">
      <c r="A135" s="122"/>
    </row>
    <row r="136" spans="1:9">
      <c r="A136" s="122"/>
    </row>
    <row r="137" spans="1:9">
      <c r="A137" s="122"/>
    </row>
    <row r="138" spans="1:9">
      <c r="A138" s="122"/>
    </row>
    <row r="139" spans="1:9">
      <c r="A139" s="122"/>
    </row>
    <row r="140" spans="1:9">
      <c r="A140" s="122"/>
    </row>
    <row r="141" spans="1:9">
      <c r="A141" s="122"/>
    </row>
    <row r="142" spans="1:9">
      <c r="A142" s="122"/>
    </row>
    <row r="143" spans="1:9">
      <c r="A143" s="122"/>
    </row>
    <row r="144" spans="1:9">
      <c r="A144" s="122"/>
    </row>
    <row r="145" spans="1:1">
      <c r="A145" s="122"/>
    </row>
    <row r="146" spans="1:1">
      <c r="A146" s="122"/>
    </row>
    <row r="147" spans="1:1">
      <c r="A147" s="122"/>
    </row>
    <row r="148" spans="1:1">
      <c r="A148" s="122"/>
    </row>
    <row r="149" spans="1:1">
      <c r="A149" s="122"/>
    </row>
    <row r="150" spans="1:1">
      <c r="A150" s="122"/>
    </row>
    <row r="151" spans="1:1">
      <c r="A151" s="122"/>
    </row>
    <row r="152" spans="1:1">
      <c r="A152" s="122"/>
    </row>
    <row r="153" spans="1:1">
      <c r="A153" s="122"/>
    </row>
    <row r="154" spans="1:1">
      <c r="A154" s="122"/>
    </row>
    <row r="155" spans="1:1">
      <c r="A155" s="122"/>
    </row>
    <row r="156" spans="1:1">
      <c r="A156" s="122"/>
    </row>
    <row r="157" spans="1:1">
      <c r="A157" s="122"/>
    </row>
    <row r="158" spans="1:1">
      <c r="A158" s="122"/>
    </row>
    <row r="159" spans="1:1">
      <c r="A159" s="122"/>
    </row>
    <row r="160" spans="1:1">
      <c r="A160" s="122"/>
    </row>
    <row r="161" spans="1:1">
      <c r="A161" s="122"/>
    </row>
    <row r="162" spans="1:1">
      <c r="A162" s="122"/>
    </row>
    <row r="163" spans="1:1">
      <c r="A163" s="122"/>
    </row>
    <row r="164" spans="1:1">
      <c r="A164" s="122"/>
    </row>
    <row r="165" spans="1:1">
      <c r="A165" s="122"/>
    </row>
    <row r="166" spans="1:1">
      <c r="A166" s="122"/>
    </row>
    <row r="167" spans="1:1">
      <c r="A167" s="122"/>
    </row>
    <row r="168" spans="1:1">
      <c r="A168" s="122"/>
    </row>
    <row r="169" spans="1:1">
      <c r="A169" s="122"/>
    </row>
    <row r="170" spans="1:1">
      <c r="A170" s="122"/>
    </row>
    <row r="171" spans="1:1">
      <c r="A171" s="122"/>
    </row>
    <row r="172" spans="1:1">
      <c r="A172" s="122"/>
    </row>
    <row r="173" spans="1:1">
      <c r="A173" s="122"/>
    </row>
    <row r="174" spans="1:1">
      <c r="A174" s="122"/>
    </row>
    <row r="175" spans="1:1">
      <c r="A175" s="122"/>
    </row>
    <row r="176" spans="1:1">
      <c r="A176" s="122"/>
    </row>
    <row r="177" spans="1:1">
      <c r="A177" s="122"/>
    </row>
    <row r="178" spans="1:1">
      <c r="A178" s="122"/>
    </row>
    <row r="179" spans="1:1">
      <c r="A179" s="122"/>
    </row>
    <row r="180" spans="1:1">
      <c r="A180" s="122"/>
    </row>
    <row r="181" spans="1:1">
      <c r="A181" s="122"/>
    </row>
    <row r="182" spans="1:1">
      <c r="A182" s="122"/>
    </row>
    <row r="183" spans="1:1">
      <c r="A183" s="122"/>
    </row>
    <row r="184" spans="1:1">
      <c r="A184" s="122"/>
    </row>
    <row r="185" spans="1:1">
      <c r="A185" s="122"/>
    </row>
    <row r="186" spans="1:1">
      <c r="A186" s="122"/>
    </row>
    <row r="187" spans="1:1">
      <c r="A187" s="122"/>
    </row>
    <row r="188" spans="1:1">
      <c r="A188" s="122"/>
    </row>
    <row r="189" spans="1:1">
      <c r="A189" s="122"/>
    </row>
    <row r="190" spans="1:1">
      <c r="A190" s="122"/>
    </row>
    <row r="191" spans="1:1">
      <c r="A191" s="122"/>
    </row>
    <row r="192" spans="1:1">
      <c r="A192" s="122"/>
    </row>
    <row r="193" spans="1:1">
      <c r="A193" s="122"/>
    </row>
    <row r="194" spans="1:1">
      <c r="A194" s="122"/>
    </row>
    <row r="195" spans="1:1">
      <c r="A195" s="122"/>
    </row>
    <row r="196" spans="1:1">
      <c r="A196" s="122"/>
    </row>
    <row r="197" spans="1:1">
      <c r="A197" s="122"/>
    </row>
    <row r="198" spans="1:1">
      <c r="A198" s="122"/>
    </row>
    <row r="199" spans="1:1">
      <c r="A199" s="122"/>
    </row>
    <row r="200" spans="1:1">
      <c r="A200" s="122"/>
    </row>
    <row r="201" spans="1:1">
      <c r="A201" s="122"/>
    </row>
    <row r="202" spans="1:1">
      <c r="A202" s="122"/>
    </row>
    <row r="203" spans="1:1">
      <c r="A203" s="122"/>
    </row>
    <row r="204" spans="1:1">
      <c r="A204" s="122"/>
    </row>
    <row r="205" spans="1:1">
      <c r="A205" s="122"/>
    </row>
    <row r="206" spans="1:1">
      <c r="A206" s="122"/>
    </row>
    <row r="207" spans="1:1">
      <c r="A207" s="122"/>
    </row>
    <row r="208" spans="1:1">
      <c r="A208" s="122"/>
    </row>
    <row r="209" spans="1:1">
      <c r="A209" s="122"/>
    </row>
    <row r="210" spans="1:1">
      <c r="A210" s="122"/>
    </row>
    <row r="211" spans="1:1">
      <c r="A211" s="122"/>
    </row>
    <row r="212" spans="1:1">
      <c r="A212" s="122"/>
    </row>
    <row r="213" spans="1:1">
      <c r="A213" s="122"/>
    </row>
    <row r="214" spans="1:1">
      <c r="A214" s="122"/>
    </row>
    <row r="215" spans="1:1">
      <c r="A215" s="122"/>
    </row>
    <row r="216" spans="1:1">
      <c r="A216" s="122"/>
    </row>
    <row r="217" spans="1:1">
      <c r="A217" s="122"/>
    </row>
    <row r="218" spans="1:1">
      <c r="A218" s="122"/>
    </row>
    <row r="219" spans="1:1">
      <c r="A219" s="122"/>
    </row>
    <row r="220" spans="1:1">
      <c r="A220" s="122"/>
    </row>
    <row r="221" spans="1:1">
      <c r="A221" s="122"/>
    </row>
    <row r="222" spans="1:1">
      <c r="A222" s="122"/>
    </row>
    <row r="223" spans="1:1">
      <c r="A223" s="122"/>
    </row>
    <row r="224" spans="1:1">
      <c r="A224" s="122"/>
    </row>
    <row r="225" spans="1:1">
      <c r="A225" s="122"/>
    </row>
    <row r="226" spans="1:1">
      <c r="A226" s="122"/>
    </row>
    <row r="227" spans="1:1">
      <c r="A227" s="122"/>
    </row>
    <row r="228" spans="1:1">
      <c r="A228" s="122"/>
    </row>
    <row r="229" spans="1:1">
      <c r="A229" s="122"/>
    </row>
    <row r="230" spans="1:1">
      <c r="A230" s="122"/>
    </row>
    <row r="231" spans="1:1">
      <c r="A231" s="122"/>
    </row>
    <row r="232" spans="1:1">
      <c r="A232" s="122"/>
    </row>
    <row r="233" spans="1:1">
      <c r="A233" s="122"/>
    </row>
    <row r="234" spans="1:1">
      <c r="A234" s="122"/>
    </row>
    <row r="235" spans="1:1">
      <c r="A235" s="122"/>
    </row>
    <row r="236" spans="1:1">
      <c r="A236" s="122"/>
    </row>
    <row r="237" spans="1:1">
      <c r="A237" s="122"/>
    </row>
    <row r="238" spans="1:1">
      <c r="A238" s="122"/>
    </row>
    <row r="239" spans="1:1">
      <c r="A239" s="122"/>
    </row>
    <row r="240" spans="1:1">
      <c r="A240" s="122"/>
    </row>
    <row r="241" spans="1:1">
      <c r="A241" s="122"/>
    </row>
    <row r="242" spans="1:1">
      <c r="A242" s="122"/>
    </row>
    <row r="243" spans="1:1">
      <c r="A243" s="122"/>
    </row>
    <row r="244" spans="1:1">
      <c r="A244" s="122"/>
    </row>
    <row r="245" spans="1:1">
      <c r="A245" s="122"/>
    </row>
    <row r="246" spans="1:1">
      <c r="A246" s="122"/>
    </row>
    <row r="247" spans="1:1">
      <c r="A247" s="122"/>
    </row>
    <row r="248" spans="1:1">
      <c r="A248" s="122"/>
    </row>
    <row r="249" spans="1:1">
      <c r="A249" s="122"/>
    </row>
    <row r="250" spans="1:1">
      <c r="A250" s="122"/>
    </row>
    <row r="251" spans="1:1">
      <c r="A251" s="122"/>
    </row>
    <row r="252" spans="1:1">
      <c r="A252" s="122"/>
    </row>
    <row r="253" spans="1:1">
      <c r="A253" s="122"/>
    </row>
    <row r="254" spans="1:1">
      <c r="A254" s="122"/>
    </row>
    <row r="255" spans="1:1">
      <c r="A255" s="122"/>
    </row>
    <row r="256" spans="1:1">
      <c r="A256" s="122"/>
    </row>
    <row r="257" spans="1:1">
      <c r="A257" s="122"/>
    </row>
    <row r="258" spans="1:1">
      <c r="A258" s="122"/>
    </row>
    <row r="259" spans="1:1">
      <c r="A259" s="122"/>
    </row>
    <row r="260" spans="1:1">
      <c r="A260" s="122"/>
    </row>
    <row r="261" spans="1:1">
      <c r="A261" s="122"/>
    </row>
    <row r="262" spans="1:1">
      <c r="A262" s="122"/>
    </row>
    <row r="263" spans="1:1">
      <c r="A263" s="122"/>
    </row>
    <row r="264" spans="1:1">
      <c r="A264" s="122"/>
    </row>
    <row r="265" spans="1:1">
      <c r="A265" s="122"/>
    </row>
    <row r="266" spans="1:1">
      <c r="A266" s="122"/>
    </row>
    <row r="267" spans="1:1">
      <c r="A267" s="122"/>
    </row>
    <row r="268" spans="1:1">
      <c r="A268" s="122"/>
    </row>
    <row r="269" spans="1:1">
      <c r="A269" s="122"/>
    </row>
    <row r="270" spans="1:1">
      <c r="A270" s="122"/>
    </row>
    <row r="271" spans="1:1">
      <c r="A271" s="122"/>
    </row>
    <row r="272" spans="1:1">
      <c r="A272" s="122"/>
    </row>
    <row r="273" spans="1:1">
      <c r="A273" s="122"/>
    </row>
    <row r="274" spans="1:1">
      <c r="A274" s="122"/>
    </row>
    <row r="275" spans="1:1">
      <c r="A275" s="122"/>
    </row>
    <row r="276" spans="1:1">
      <c r="A276" s="122"/>
    </row>
    <row r="277" spans="1:1">
      <c r="A277" s="122"/>
    </row>
    <row r="278" spans="1:1">
      <c r="A278" s="122"/>
    </row>
    <row r="279" spans="1:1">
      <c r="A279" s="122"/>
    </row>
    <row r="280" spans="1:1">
      <c r="A280" s="122"/>
    </row>
    <row r="281" spans="1:1">
      <c r="A281" s="122"/>
    </row>
    <row r="282" spans="1:1">
      <c r="A282" s="122"/>
    </row>
    <row r="283" spans="1:1">
      <c r="A283" s="122"/>
    </row>
    <row r="284" spans="1:1">
      <c r="A284" s="122"/>
    </row>
    <row r="285" spans="1:1">
      <c r="A285" s="122"/>
    </row>
    <row r="286" spans="1:1">
      <c r="A286" s="122"/>
    </row>
    <row r="287" spans="1:1">
      <c r="A287" s="122"/>
    </row>
    <row r="288" spans="1:1">
      <c r="A288" s="122"/>
    </row>
    <row r="289" spans="1:1">
      <c r="A289" s="122"/>
    </row>
    <row r="290" spans="1:1">
      <c r="A290" s="123"/>
    </row>
    <row r="291" spans="1:1">
      <c r="A291" s="123"/>
    </row>
    <row r="292" spans="1:1">
      <c r="A292" s="123"/>
    </row>
    <row r="293" spans="1:1">
      <c r="A293" s="123"/>
    </row>
    <row r="294" spans="1:1">
      <c r="A294" s="123"/>
    </row>
    <row r="295" spans="1:1">
      <c r="A295" s="123"/>
    </row>
    <row r="296" spans="1:1">
      <c r="A296" s="123"/>
    </row>
    <row r="297" spans="1:1">
      <c r="A297" s="123"/>
    </row>
    <row r="298" spans="1:1">
      <c r="A298" s="123"/>
    </row>
    <row r="299" spans="1:1">
      <c r="A299" s="123"/>
    </row>
    <row r="300" spans="1:1">
      <c r="A300" s="123"/>
    </row>
    <row r="301" spans="1:1">
      <c r="A301" s="123"/>
    </row>
    <row r="302" spans="1:1">
      <c r="A302" s="123"/>
    </row>
    <row r="303" spans="1:1">
      <c r="A303" s="123"/>
    </row>
    <row r="304" spans="1:1">
      <c r="A304" s="123"/>
    </row>
    <row r="305" spans="1:1">
      <c r="A305" s="123"/>
    </row>
    <row r="306" spans="1:1">
      <c r="A306" s="123"/>
    </row>
    <row r="307" spans="1:1">
      <c r="A307" s="123"/>
    </row>
    <row r="308" spans="1:1">
      <c r="A308" s="123"/>
    </row>
    <row r="309" spans="1:1">
      <c r="A309" s="123"/>
    </row>
    <row r="310" spans="1:1">
      <c r="A310" s="123"/>
    </row>
    <row r="311" spans="1:1">
      <c r="A311" s="123"/>
    </row>
    <row r="312" spans="1:1">
      <c r="A312" s="123"/>
    </row>
    <row r="313" spans="1:1">
      <c r="A313" s="123"/>
    </row>
    <row r="314" spans="1:1">
      <c r="A314" s="123"/>
    </row>
    <row r="315" spans="1:1">
      <c r="A315" s="123"/>
    </row>
    <row r="316" spans="1:1">
      <c r="A316" s="123"/>
    </row>
    <row r="317" spans="1:1">
      <c r="A317" s="123"/>
    </row>
    <row r="318" spans="1:1">
      <c r="A318" s="123"/>
    </row>
    <row r="319" spans="1:1">
      <c r="A319" s="123"/>
    </row>
    <row r="320" spans="1:1">
      <c r="A320" s="123"/>
    </row>
    <row r="321" spans="1:1">
      <c r="A321" s="123"/>
    </row>
    <row r="322" spans="1:1">
      <c r="A322" s="123"/>
    </row>
    <row r="323" spans="1:1">
      <c r="A323" s="123"/>
    </row>
    <row r="324" spans="1:1">
      <c r="A324" s="123"/>
    </row>
    <row r="325" spans="1:1">
      <c r="A325" s="123"/>
    </row>
    <row r="326" spans="1:1">
      <c r="A326" s="123"/>
    </row>
    <row r="327" spans="1:1">
      <c r="A327" s="123"/>
    </row>
    <row r="328" spans="1:1">
      <c r="A328" s="123"/>
    </row>
    <row r="329" spans="1:1">
      <c r="A329" s="123"/>
    </row>
    <row r="330" spans="1:1">
      <c r="A330" s="123"/>
    </row>
    <row r="331" spans="1:1">
      <c r="A331" s="123"/>
    </row>
    <row r="332" spans="1:1">
      <c r="A332" s="123"/>
    </row>
    <row r="333" spans="1:1">
      <c r="A333" s="123"/>
    </row>
    <row r="334" spans="1:1">
      <c r="A334" s="123"/>
    </row>
    <row r="335" spans="1:1">
      <c r="A335" s="123"/>
    </row>
    <row r="336" spans="1:1">
      <c r="A336" s="123"/>
    </row>
    <row r="337" spans="1:1">
      <c r="A337" s="123"/>
    </row>
    <row r="338" spans="1:1">
      <c r="A338" s="123"/>
    </row>
    <row r="339" spans="1:1">
      <c r="A339" s="123"/>
    </row>
    <row r="340" spans="1:1">
      <c r="A340" s="123"/>
    </row>
    <row r="341" spans="1:1">
      <c r="A341" s="123"/>
    </row>
    <row r="342" spans="1:1">
      <c r="A342" s="123"/>
    </row>
    <row r="343" spans="1:1">
      <c r="A343" s="123"/>
    </row>
    <row r="344" spans="1:1">
      <c r="A344" s="123"/>
    </row>
    <row r="345" spans="1:1">
      <c r="A345" s="123"/>
    </row>
    <row r="346" spans="1:1">
      <c r="A346" s="123"/>
    </row>
    <row r="347" spans="1:1">
      <c r="A347" s="123"/>
    </row>
    <row r="348" spans="1:1">
      <c r="A348" s="123"/>
    </row>
    <row r="349" spans="1:1">
      <c r="A349" s="123"/>
    </row>
    <row r="350" spans="1:1">
      <c r="A350" s="123"/>
    </row>
    <row r="351" spans="1:1">
      <c r="A351" s="123"/>
    </row>
    <row r="352" spans="1:1">
      <c r="A352" s="123"/>
    </row>
    <row r="353" spans="1:1">
      <c r="A353" s="123"/>
    </row>
    <row r="354" spans="1:1">
      <c r="A354" s="123"/>
    </row>
    <row r="355" spans="1:1">
      <c r="A355" s="123"/>
    </row>
    <row r="356" spans="1:1">
      <c r="A356" s="123"/>
    </row>
    <row r="357" spans="1:1">
      <c r="A357" s="123"/>
    </row>
    <row r="358" spans="1:1">
      <c r="A358" s="123"/>
    </row>
    <row r="359" spans="1:1">
      <c r="A359" s="123"/>
    </row>
    <row r="360" spans="1:1">
      <c r="A360" s="123"/>
    </row>
    <row r="361" spans="1:1">
      <c r="A361" s="123"/>
    </row>
    <row r="362" spans="1:1">
      <c r="A362" s="123"/>
    </row>
    <row r="363" spans="1:1">
      <c r="A363" s="123"/>
    </row>
    <row r="364" spans="1:1">
      <c r="A364" s="123"/>
    </row>
    <row r="365" spans="1:1">
      <c r="A365" s="123"/>
    </row>
    <row r="366" spans="1:1">
      <c r="A366" s="123"/>
    </row>
    <row r="367" spans="1:1">
      <c r="A367" s="123"/>
    </row>
    <row r="368" spans="1:1">
      <c r="A368" s="123"/>
    </row>
    <row r="369" spans="1:1">
      <c r="A369" s="123"/>
    </row>
    <row r="370" spans="1:1">
      <c r="A370" s="123"/>
    </row>
    <row r="371" spans="1:1">
      <c r="A371" s="123"/>
    </row>
    <row r="372" spans="1:1">
      <c r="A372" s="123"/>
    </row>
    <row r="373" spans="1:1">
      <c r="A373" s="123"/>
    </row>
    <row r="374" spans="1:1">
      <c r="A374" s="123"/>
    </row>
    <row r="375" spans="1:1">
      <c r="A375" s="123"/>
    </row>
    <row r="376" spans="1:1">
      <c r="A376" s="123"/>
    </row>
    <row r="377" spans="1:1">
      <c r="A377" s="123"/>
    </row>
    <row r="378" spans="1:1">
      <c r="A378" s="123"/>
    </row>
    <row r="379" spans="1:1">
      <c r="A379" s="123"/>
    </row>
    <row r="380" spans="1:1">
      <c r="A380" s="123"/>
    </row>
    <row r="381" spans="1:1">
      <c r="A381" s="123"/>
    </row>
    <row r="382" spans="1:1">
      <c r="A382" s="123"/>
    </row>
    <row r="383" spans="1:1">
      <c r="A383" s="123"/>
    </row>
    <row r="384" spans="1:1">
      <c r="A384" s="123"/>
    </row>
    <row r="385" spans="1:1">
      <c r="A385" s="123"/>
    </row>
    <row r="386" spans="1:1">
      <c r="A386" s="123"/>
    </row>
    <row r="387" spans="1:1">
      <c r="A387" s="123"/>
    </row>
    <row r="388" spans="1:1">
      <c r="A388" s="123"/>
    </row>
    <row r="389" spans="1:1">
      <c r="A389" s="123"/>
    </row>
    <row r="390" spans="1:1">
      <c r="A390" s="123"/>
    </row>
    <row r="391" spans="1:1">
      <c r="A391" s="123"/>
    </row>
    <row r="392" spans="1:1">
      <c r="A392" s="123"/>
    </row>
    <row r="393" spans="1:1">
      <c r="A393" s="123"/>
    </row>
    <row r="394" spans="1:1">
      <c r="A394" s="123"/>
    </row>
    <row r="395" spans="1:1">
      <c r="A395" s="123"/>
    </row>
    <row r="396" spans="1:1">
      <c r="A396" s="123"/>
    </row>
    <row r="397" spans="1:1">
      <c r="A397" s="123"/>
    </row>
    <row r="398" spans="1:1">
      <c r="A398" s="123"/>
    </row>
    <row r="399" spans="1:1">
      <c r="A399" s="123"/>
    </row>
    <row r="400" spans="1:1">
      <c r="A400" s="123"/>
    </row>
    <row r="401" spans="1:1">
      <c r="A401" s="123"/>
    </row>
    <row r="402" spans="1:1">
      <c r="A402" s="123"/>
    </row>
    <row r="403" spans="1:1">
      <c r="A403" s="123"/>
    </row>
    <row r="404" spans="1:1">
      <c r="A404" s="123"/>
    </row>
    <row r="405" spans="1:1">
      <c r="A405" s="123"/>
    </row>
    <row r="406" spans="1:1">
      <c r="A406" s="123"/>
    </row>
    <row r="407" spans="1:1">
      <c r="A407" s="123"/>
    </row>
    <row r="408" spans="1:1">
      <c r="A408" s="123"/>
    </row>
    <row r="409" spans="1:1">
      <c r="A409" s="123"/>
    </row>
    <row r="410" spans="1:1">
      <c r="A410" s="123"/>
    </row>
    <row r="411" spans="1:1">
      <c r="A411" s="123"/>
    </row>
    <row r="412" spans="1:1">
      <c r="A412" s="123"/>
    </row>
    <row r="413" spans="1:1">
      <c r="A413" s="123"/>
    </row>
    <row r="414" spans="1:1">
      <c r="A414" s="123"/>
    </row>
    <row r="415" spans="1:1">
      <c r="A415" s="123"/>
    </row>
    <row r="416" spans="1:1">
      <c r="A416" s="123"/>
    </row>
    <row r="417" spans="1:1">
      <c r="A417" s="123"/>
    </row>
    <row r="418" spans="1:1">
      <c r="A418" s="123"/>
    </row>
    <row r="419" spans="1:1">
      <c r="A419" s="123"/>
    </row>
    <row r="420" spans="1:1">
      <c r="A420" s="123"/>
    </row>
    <row r="421" spans="1:1">
      <c r="A421" s="123"/>
    </row>
    <row r="422" spans="1:1">
      <c r="A422" s="123"/>
    </row>
    <row r="423" spans="1:1">
      <c r="A423" s="123"/>
    </row>
    <row r="424" spans="1:1">
      <c r="A424" s="123"/>
    </row>
    <row r="425" spans="1:1">
      <c r="A425" s="123"/>
    </row>
    <row r="426" spans="1:1">
      <c r="A426" s="123"/>
    </row>
    <row r="427" spans="1:1">
      <c r="A427" s="123"/>
    </row>
    <row r="428" spans="1:1">
      <c r="A428" s="123"/>
    </row>
    <row r="429" spans="1:1">
      <c r="A429" s="123"/>
    </row>
    <row r="430" spans="1:1">
      <c r="A430" s="123"/>
    </row>
    <row r="431" spans="1:1">
      <c r="A431" s="123"/>
    </row>
    <row r="432" spans="1:1">
      <c r="A432" s="123"/>
    </row>
    <row r="433" spans="1:1">
      <c r="A433" s="123"/>
    </row>
    <row r="434" spans="1:1">
      <c r="A434" s="123"/>
    </row>
    <row r="435" spans="1:1">
      <c r="A435" s="123"/>
    </row>
    <row r="436" spans="1:1">
      <c r="A436" s="123"/>
    </row>
    <row r="437" spans="1:1">
      <c r="A437" s="123"/>
    </row>
    <row r="438" spans="1:1">
      <c r="A438" s="123"/>
    </row>
    <row r="439" spans="1:1">
      <c r="A439" s="123"/>
    </row>
    <row r="440" spans="1:1">
      <c r="A440" s="123"/>
    </row>
    <row r="441" spans="1:1">
      <c r="A441" s="123"/>
    </row>
    <row r="442" spans="1:1">
      <c r="A442" s="123"/>
    </row>
    <row r="443" spans="1:1">
      <c r="A443" s="123"/>
    </row>
    <row r="444" spans="1:1">
      <c r="A444" s="123"/>
    </row>
    <row r="445" spans="1:1">
      <c r="A445" s="123"/>
    </row>
    <row r="446" spans="1:1">
      <c r="A446" s="123"/>
    </row>
    <row r="447" spans="1:1">
      <c r="A447" s="123"/>
    </row>
    <row r="448" spans="1:1">
      <c r="A448" s="123"/>
    </row>
    <row r="449" spans="1:1">
      <c r="A449" s="123"/>
    </row>
    <row r="450" spans="1:1">
      <c r="A450" s="123"/>
    </row>
    <row r="451" spans="1:1">
      <c r="A451" s="123"/>
    </row>
    <row r="452" spans="1:1">
      <c r="A452" s="123"/>
    </row>
    <row r="453" spans="1:1">
      <c r="A453" s="123"/>
    </row>
    <row r="454" spans="1:1">
      <c r="A454" s="123"/>
    </row>
    <row r="455" spans="1:1">
      <c r="A455" s="123"/>
    </row>
  </sheetData>
  <mergeCells count="34">
    <mergeCell ref="A60:H60"/>
    <mergeCell ref="A24:H24"/>
    <mergeCell ref="A59:H59"/>
    <mergeCell ref="A16:H16"/>
    <mergeCell ref="C21:D21"/>
    <mergeCell ref="E21:H21"/>
    <mergeCell ref="A17:H17"/>
    <mergeCell ref="A15:H15"/>
    <mergeCell ref="A21:A22"/>
    <mergeCell ref="B21:B22"/>
    <mergeCell ref="A18:H18"/>
    <mergeCell ref="A19:H19"/>
    <mergeCell ref="G131:H131"/>
    <mergeCell ref="C131:F131"/>
    <mergeCell ref="A117:H117"/>
    <mergeCell ref="A65:H65"/>
    <mergeCell ref="A73:H73"/>
    <mergeCell ref="A86:H86"/>
    <mergeCell ref="A130:B130"/>
    <mergeCell ref="C130:E130"/>
    <mergeCell ref="A92:H92"/>
    <mergeCell ref="A108:H108"/>
    <mergeCell ref="B9:C9"/>
    <mergeCell ref="B11:F11"/>
    <mergeCell ref="B12:F12"/>
    <mergeCell ref="B13:F13"/>
    <mergeCell ref="B1:E1"/>
    <mergeCell ref="B2:F2"/>
    <mergeCell ref="B3:F3"/>
    <mergeCell ref="B4:F4"/>
    <mergeCell ref="B5:F5"/>
    <mergeCell ref="B6:F6"/>
    <mergeCell ref="B7:D7"/>
    <mergeCell ref="B10:E10"/>
  </mergeCells>
  <phoneticPr fontId="3" type="noConversion"/>
  <conditionalFormatting sqref="C107:F107">
    <cfRule type="cellIs" dxfId="0" priority="1" operator="notEqual">
      <formula>0</formula>
    </cfRule>
  </conditionalFormatting>
  <printOptions horizontalCentered="1"/>
  <pageMargins left="0.59055118110236227" right="0.59055118110236227" top="0.98425196850393704" bottom="0.59055118110236227" header="0" footer="0"/>
  <pageSetup paperSize="9" scale="48" fitToHeight="0" orientation="landscape" blackAndWhite="1" verticalDpi="300" r:id="rId1"/>
  <headerFooter alignWithMargins="0"/>
  <ignoredErrors>
    <ignoredError sqref="F123 D33:F33" evalError="1"/>
    <ignoredError sqref="B75 B109:B116 B118:B126" numberStoredAsText="1"/>
    <ignoredError sqref="E119:E121" formula="1"/>
    <ignoredError sqref="E123" evalError="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323"/>
  <sheetViews>
    <sheetView topLeftCell="A73" zoomScale="60" zoomScaleNormal="60" zoomScaleSheetLayoutView="50" workbookViewId="0">
      <selection activeCell="B73" sqref="B1:D1048576"/>
    </sheetView>
  </sheetViews>
  <sheetFormatPr defaultColWidth="9.109375" defaultRowHeight="18"/>
  <cols>
    <col min="1" max="1" width="98.5546875" style="115" customWidth="1"/>
    <col min="2" max="2" width="14.88671875" style="180" customWidth="1"/>
    <col min="3" max="7" width="22.44140625" style="180" customWidth="1"/>
    <col min="8" max="8" width="19.88671875" style="180" customWidth="1"/>
    <col min="9" max="9" width="31.88671875" style="180" customWidth="1"/>
    <col min="10" max="13" width="9.109375" style="115"/>
    <col min="14" max="14" width="19.44140625" style="115" bestFit="1" customWidth="1"/>
    <col min="15" max="15" width="9.109375" style="115"/>
    <col min="16" max="16" width="10.88671875" style="115" bestFit="1" customWidth="1"/>
    <col min="17" max="16384" width="9.109375" style="115"/>
  </cols>
  <sheetData>
    <row r="1" spans="1:9" ht="29.25" customHeight="1">
      <c r="H1" s="76" t="s">
        <v>342</v>
      </c>
    </row>
    <row r="2" spans="1:9" ht="37.5" customHeight="1">
      <c r="A2" s="479" t="s">
        <v>75</v>
      </c>
      <c r="B2" s="479"/>
      <c r="C2" s="479"/>
      <c r="D2" s="479"/>
      <c r="E2" s="479"/>
      <c r="F2" s="479"/>
      <c r="G2" s="479"/>
      <c r="H2" s="479"/>
      <c r="I2" s="479"/>
    </row>
    <row r="3" spans="1:9" ht="22.5" customHeight="1">
      <c r="A3" s="260"/>
      <c r="B3" s="106"/>
      <c r="C3" s="106"/>
      <c r="D3" s="106"/>
      <c r="E3" s="106"/>
      <c r="F3" s="106"/>
      <c r="G3" s="106"/>
      <c r="H3" s="106" t="s">
        <v>434</v>
      </c>
      <c r="I3" s="106"/>
    </row>
    <row r="4" spans="1:9" ht="55.5" customHeight="1">
      <c r="A4" s="468" t="s">
        <v>153</v>
      </c>
      <c r="B4" s="469" t="s">
        <v>18</v>
      </c>
      <c r="C4" s="469" t="s">
        <v>276</v>
      </c>
      <c r="D4" s="469"/>
      <c r="E4" s="468" t="s">
        <v>427</v>
      </c>
      <c r="F4" s="468"/>
      <c r="G4" s="468"/>
      <c r="H4" s="468"/>
      <c r="I4" s="468"/>
    </row>
    <row r="5" spans="1:9" ht="108" customHeight="1">
      <c r="A5" s="468"/>
      <c r="B5" s="469"/>
      <c r="C5" s="257" t="s">
        <v>432</v>
      </c>
      <c r="D5" s="257" t="s">
        <v>433</v>
      </c>
      <c r="E5" s="257" t="s">
        <v>144</v>
      </c>
      <c r="F5" s="257" t="s">
        <v>140</v>
      </c>
      <c r="G5" s="113" t="s">
        <v>150</v>
      </c>
      <c r="H5" s="113" t="s">
        <v>362</v>
      </c>
      <c r="I5" s="257" t="s">
        <v>149</v>
      </c>
    </row>
    <row r="6" spans="1:9" ht="24.75" customHeight="1">
      <c r="A6" s="62">
        <v>1</v>
      </c>
      <c r="B6" s="257">
        <v>2</v>
      </c>
      <c r="C6" s="62">
        <v>3</v>
      </c>
      <c r="D6" s="257">
        <v>4</v>
      </c>
      <c r="E6" s="62">
        <v>5</v>
      </c>
      <c r="F6" s="257">
        <v>6</v>
      </c>
      <c r="G6" s="62">
        <v>7</v>
      </c>
      <c r="H6" s="257">
        <v>8</v>
      </c>
      <c r="I6" s="62">
        <v>9</v>
      </c>
    </row>
    <row r="7" spans="1:9" s="24" customFormat="1" ht="32.25" customHeight="1">
      <c r="A7" s="480" t="s">
        <v>148</v>
      </c>
      <c r="B7" s="480"/>
      <c r="C7" s="480"/>
      <c r="D7" s="480"/>
      <c r="E7" s="480"/>
      <c r="F7" s="480"/>
      <c r="G7" s="480"/>
      <c r="H7" s="480"/>
      <c r="I7" s="480"/>
    </row>
    <row r="8" spans="1:9" s="24" customFormat="1" ht="32.25" customHeight="1">
      <c r="A8" s="259" t="s">
        <v>123</v>
      </c>
      <c r="B8" s="43">
        <v>1000</v>
      </c>
      <c r="C8" s="327">
        <v>186753</v>
      </c>
      <c r="D8" s="273">
        <v>117666</v>
      </c>
      <c r="E8" s="327">
        <v>273409.8</v>
      </c>
      <c r="F8" s="273">
        <f>D8</f>
        <v>117666</v>
      </c>
      <c r="G8" s="219">
        <f t="shared" ref="G8:G10" si="0">IF(F8="(    )",0,F8)-IF(E8="(    )",0,E8)</f>
        <v>-155743.79999999999</v>
      </c>
      <c r="H8" s="89">
        <f t="shared" ref="H8:H10" si="1">IF(IF(E8="(    )",0,E8)=0,0,IF(F8="(    )",0,F8)/IF(E8="(    )",0,E8))*100</f>
        <v>43.036496862950777</v>
      </c>
      <c r="I8" s="45"/>
    </row>
    <row r="9" spans="1:9" s="24" customFormat="1" ht="32.25" customHeight="1">
      <c r="A9" s="259" t="s">
        <v>110</v>
      </c>
      <c r="B9" s="43">
        <v>1010</v>
      </c>
      <c r="C9" s="327">
        <f>SUM(C10:C17)</f>
        <v>-562737.69999999995</v>
      </c>
      <c r="D9" s="273">
        <f t="shared" ref="D9:F9" si="2">SUM(D10:D17)</f>
        <v>-634675</v>
      </c>
      <c r="E9" s="327">
        <f>SUM(E10:E17)</f>
        <v>-948491.09999999986</v>
      </c>
      <c r="F9" s="273">
        <f t="shared" si="2"/>
        <v>-634675</v>
      </c>
      <c r="G9" s="219">
        <f t="shared" si="0"/>
        <v>313816.09999999986</v>
      </c>
      <c r="H9" s="89">
        <f t="shared" si="1"/>
        <v>66.914175578452983</v>
      </c>
      <c r="I9" s="45"/>
    </row>
    <row r="10" spans="1:9" ht="32.25" customHeight="1">
      <c r="A10" s="277" t="s">
        <v>301</v>
      </c>
      <c r="B10" s="46">
        <v>1011</v>
      </c>
      <c r="C10" s="328">
        <v>-66553</v>
      </c>
      <c r="D10" s="392">
        <v>-104152</v>
      </c>
      <c r="E10" s="328">
        <v>-260816.1</v>
      </c>
      <c r="F10" s="272">
        <f>D10</f>
        <v>-104152</v>
      </c>
      <c r="G10" s="220">
        <f t="shared" si="0"/>
        <v>156664.1</v>
      </c>
      <c r="H10" s="93">
        <f t="shared" si="1"/>
        <v>39.933117625790736</v>
      </c>
      <c r="I10" s="48"/>
    </row>
    <row r="11" spans="1:9" ht="32.25" customHeight="1">
      <c r="A11" s="277" t="s">
        <v>411</v>
      </c>
      <c r="B11" s="46">
        <v>1012</v>
      </c>
      <c r="C11" s="328">
        <v>-4480</v>
      </c>
      <c r="D11" s="272">
        <v>-7723</v>
      </c>
      <c r="E11" s="328">
        <v>-7448.6</v>
      </c>
      <c r="F11" s="272">
        <f t="shared" ref="F11:F16" si="3">D11</f>
        <v>-7723</v>
      </c>
      <c r="G11" s="220">
        <f t="shared" ref="G11" si="4">IF(F11="(    )",0,F11)-IF(E11="(    )",0,E11)</f>
        <v>-274.39999999999964</v>
      </c>
      <c r="H11" s="93">
        <f t="shared" ref="H11" si="5">IF(IF(E11="(    )",0,E11)=0,0,IF(F11="(    )",0,F11)/IF(E11="(    )",0,E11))*100</f>
        <v>103.68391375560509</v>
      </c>
      <c r="I11" s="48"/>
    </row>
    <row r="12" spans="1:9" ht="32.25" customHeight="1">
      <c r="A12" s="277" t="s">
        <v>302</v>
      </c>
      <c r="B12" s="46">
        <v>1013</v>
      </c>
      <c r="C12" s="328">
        <v>-120138</v>
      </c>
      <c r="D12" s="272">
        <v>-143041</v>
      </c>
      <c r="E12" s="328">
        <v>-172031.4</v>
      </c>
      <c r="F12" s="272">
        <f t="shared" si="3"/>
        <v>-143041</v>
      </c>
      <c r="G12" s="220">
        <f t="shared" ref="G12:G75" si="6">IF(F12="(    )",0,F12)-IF(E12="(    )",0,E12)</f>
        <v>28990.399999999994</v>
      </c>
      <c r="H12" s="93">
        <f t="shared" ref="H12:H75" si="7">IF(IF(E12="(    )",0,E12)=0,0,IF(F12="(    )",0,F12)/IF(E12="(    )",0,E12))*100</f>
        <v>83.14819271365576</v>
      </c>
      <c r="I12" s="48"/>
    </row>
    <row r="13" spans="1:9" ht="32.25" customHeight="1">
      <c r="A13" s="277" t="s">
        <v>5</v>
      </c>
      <c r="B13" s="46">
        <v>1014</v>
      </c>
      <c r="C13" s="328">
        <v>-261285</v>
      </c>
      <c r="D13" s="392">
        <v>-257855</v>
      </c>
      <c r="E13" s="328">
        <v>-328955.59999999998</v>
      </c>
      <c r="F13" s="272">
        <f t="shared" si="3"/>
        <v>-257855</v>
      </c>
      <c r="G13" s="220">
        <f>IF(F13="(    )",0,F13)-IF(E13="(    )",0,E13)</f>
        <v>71100.599999999977</v>
      </c>
      <c r="H13" s="93">
        <f t="shared" si="7"/>
        <v>78.385958469775261</v>
      </c>
      <c r="I13" s="48"/>
    </row>
    <row r="14" spans="1:9" ht="32.25" customHeight="1">
      <c r="A14" s="277" t="s">
        <v>6</v>
      </c>
      <c r="B14" s="46">
        <v>1015</v>
      </c>
      <c r="C14" s="328">
        <v>-61166</v>
      </c>
      <c r="D14" s="392">
        <v>-55275</v>
      </c>
      <c r="E14" s="328">
        <v>-72370.2</v>
      </c>
      <c r="F14" s="272">
        <f t="shared" si="3"/>
        <v>-55275</v>
      </c>
      <c r="G14" s="220">
        <f t="shared" si="6"/>
        <v>17095.199999999997</v>
      </c>
      <c r="H14" s="93">
        <f t="shared" si="7"/>
        <v>76.37812248687996</v>
      </c>
      <c r="I14" s="48"/>
    </row>
    <row r="15" spans="1:9" ht="42">
      <c r="A15" s="277" t="s">
        <v>303</v>
      </c>
      <c r="B15" s="257">
        <v>1016</v>
      </c>
      <c r="C15" s="328">
        <v>-8640</v>
      </c>
      <c r="D15" s="272">
        <v>-14916</v>
      </c>
      <c r="E15" s="328">
        <v>-55694</v>
      </c>
      <c r="F15" s="272">
        <f t="shared" si="3"/>
        <v>-14916</v>
      </c>
      <c r="G15" s="220">
        <f t="shared" si="6"/>
        <v>40778</v>
      </c>
      <c r="H15" s="93">
        <f t="shared" si="7"/>
        <v>26.782059108701116</v>
      </c>
      <c r="I15" s="112"/>
    </row>
    <row r="16" spans="1:9" ht="32.25" customHeight="1">
      <c r="A16" s="277" t="s">
        <v>304</v>
      </c>
      <c r="B16" s="257">
        <v>1017</v>
      </c>
      <c r="C16" s="328">
        <v>-28292</v>
      </c>
      <c r="D16" s="272">
        <v>-39495</v>
      </c>
      <c r="E16" s="328">
        <v>-40124.199999999997</v>
      </c>
      <c r="F16" s="272">
        <f t="shared" si="3"/>
        <v>-39495</v>
      </c>
      <c r="G16" s="220">
        <f t="shared" si="6"/>
        <v>629.19999999999709</v>
      </c>
      <c r="H16" s="93">
        <f t="shared" si="7"/>
        <v>98.431869046610288</v>
      </c>
      <c r="I16" s="112"/>
    </row>
    <row r="17" spans="1:16" ht="32.25" customHeight="1">
      <c r="A17" s="277" t="s">
        <v>305</v>
      </c>
      <c r="B17" s="46">
        <v>1018</v>
      </c>
      <c r="C17" s="328">
        <f>-'Розшифровка фінрезультати'!D7</f>
        <v>-12183.7</v>
      </c>
      <c r="D17" s="272">
        <f>-'Розшифровка фінрезультати'!F7</f>
        <v>-12218</v>
      </c>
      <c r="E17" s="328">
        <f>-'Розшифровка фінрезультати'!E7</f>
        <v>-11051.000000000002</v>
      </c>
      <c r="F17" s="272">
        <f>D17</f>
        <v>-12218</v>
      </c>
      <c r="G17" s="220">
        <f t="shared" si="6"/>
        <v>-1166.9999999999982</v>
      </c>
      <c r="H17" s="93">
        <f t="shared" si="7"/>
        <v>110.56013030494975</v>
      </c>
      <c r="I17" s="48"/>
      <c r="K17" s="115" t="s">
        <v>782</v>
      </c>
      <c r="N17" s="364">
        <f>D13+D25+D43</f>
        <v>-295325</v>
      </c>
    </row>
    <row r="18" spans="1:16" s="24" customFormat="1" ht="32.25" customHeight="1">
      <c r="A18" s="259" t="s">
        <v>23</v>
      </c>
      <c r="B18" s="43">
        <v>1020</v>
      </c>
      <c r="C18" s="327">
        <f>SUM(C8,C9)</f>
        <v>-375984.69999999995</v>
      </c>
      <c r="D18" s="273">
        <f>SUM(D8,D9)</f>
        <v>-517009</v>
      </c>
      <c r="E18" s="327">
        <f>SUM(E8,E9)</f>
        <v>-675081.29999999981</v>
      </c>
      <c r="F18" s="273">
        <f t="shared" ref="F18" si="8">SUM(F8,F9)</f>
        <v>-517009</v>
      </c>
      <c r="G18" s="219">
        <f t="shared" si="6"/>
        <v>158072.29999999981</v>
      </c>
      <c r="H18" s="89">
        <f t="shared" si="7"/>
        <v>76.584701724073838</v>
      </c>
      <c r="I18" s="45"/>
    </row>
    <row r="19" spans="1:16" s="24" customFormat="1" ht="32.25" customHeight="1">
      <c r="A19" s="259" t="s">
        <v>130</v>
      </c>
      <c r="B19" s="43">
        <v>1030</v>
      </c>
      <c r="C19" s="327">
        <f>SUM(C20:C37,C39)</f>
        <v>-32441.1</v>
      </c>
      <c r="D19" s="273">
        <f>SUM(D20:D37,D39)</f>
        <v>-37571</v>
      </c>
      <c r="E19" s="327">
        <f>ROUNDDOWN(SUM(E20:E37,E39),0)</f>
        <v>-41151</v>
      </c>
      <c r="F19" s="273">
        <f t="shared" ref="F19" si="9">SUM(F20:F37,F39)</f>
        <v>-37571</v>
      </c>
      <c r="G19" s="219">
        <f t="shared" si="6"/>
        <v>3580</v>
      </c>
      <c r="H19" s="89">
        <f t="shared" si="7"/>
        <v>91.300332920220654</v>
      </c>
      <c r="I19" s="45"/>
      <c r="K19" s="24" t="s">
        <v>783</v>
      </c>
      <c r="N19" s="365">
        <v>295325</v>
      </c>
      <c r="P19" s="366">
        <f>N17+N19</f>
        <v>0</v>
      </c>
    </row>
    <row r="20" spans="1:16" s="24" customFormat="1" ht="32.25" customHeight="1">
      <c r="A20" s="277" t="s">
        <v>82</v>
      </c>
      <c r="B20" s="46">
        <v>1031</v>
      </c>
      <c r="C20" s="328">
        <v>-816</v>
      </c>
      <c r="D20" s="363">
        <v>-906</v>
      </c>
      <c r="E20" s="328">
        <v>-1699.8</v>
      </c>
      <c r="F20" s="272">
        <f>D20</f>
        <v>-906</v>
      </c>
      <c r="G20" s="220">
        <f t="shared" si="6"/>
        <v>793.8</v>
      </c>
      <c r="H20" s="93">
        <f t="shared" si="7"/>
        <v>53.300388280974232</v>
      </c>
      <c r="I20" s="48"/>
    </row>
    <row r="21" spans="1:16" s="24" customFormat="1" ht="32.25" customHeight="1">
      <c r="A21" s="277" t="s">
        <v>124</v>
      </c>
      <c r="B21" s="46">
        <v>1032</v>
      </c>
      <c r="C21" s="272">
        <f>-'6.2. Інша інфо_2'!R23</f>
        <v>0</v>
      </c>
      <c r="D21" s="272"/>
      <c r="E21" s="328">
        <f>'6.2. Інша інфо_2'!U23</f>
        <v>0</v>
      </c>
      <c r="F21" s="272">
        <f t="shared" ref="F21:F38" si="10">D21</f>
        <v>0</v>
      </c>
      <c r="G21" s="220">
        <f t="shared" si="6"/>
        <v>0</v>
      </c>
      <c r="H21" s="93">
        <f t="shared" si="7"/>
        <v>0</v>
      </c>
      <c r="I21" s="48"/>
    </row>
    <row r="22" spans="1:16" s="24" customFormat="1" ht="32.25" customHeight="1">
      <c r="A22" s="277" t="s">
        <v>22</v>
      </c>
      <c r="B22" s="46">
        <v>1033</v>
      </c>
      <c r="C22" s="272" t="s">
        <v>185</v>
      </c>
      <c r="D22" s="272" t="s">
        <v>185</v>
      </c>
      <c r="E22" s="328" t="s">
        <v>185</v>
      </c>
      <c r="F22" s="272" t="str">
        <f t="shared" si="10"/>
        <v>(    )</v>
      </c>
      <c r="G22" s="220">
        <f t="shared" si="6"/>
        <v>0</v>
      </c>
      <c r="H22" s="93">
        <f t="shared" si="7"/>
        <v>0</v>
      </c>
      <c r="I22" s="48"/>
    </row>
    <row r="23" spans="1:16" s="24" customFormat="1" ht="32.25" customHeight="1">
      <c r="A23" s="277" t="s">
        <v>32</v>
      </c>
      <c r="B23" s="46">
        <v>1034</v>
      </c>
      <c r="C23" s="328">
        <v>-15</v>
      </c>
      <c r="D23" s="272">
        <v>-19</v>
      </c>
      <c r="E23" s="328">
        <v>-15.5</v>
      </c>
      <c r="F23" s="272">
        <f t="shared" si="10"/>
        <v>-19</v>
      </c>
      <c r="G23" s="220">
        <f t="shared" si="6"/>
        <v>-3.5</v>
      </c>
      <c r="H23" s="93">
        <f t="shared" si="7"/>
        <v>122.58064516129032</v>
      </c>
      <c r="I23" s="48"/>
    </row>
    <row r="24" spans="1:16" s="24" customFormat="1" ht="32.25" customHeight="1">
      <c r="A24" s="277" t="s">
        <v>33</v>
      </c>
      <c r="B24" s="46">
        <v>1035</v>
      </c>
      <c r="C24" s="328">
        <v>-286</v>
      </c>
      <c r="D24" s="272">
        <v>-319</v>
      </c>
      <c r="E24" s="328">
        <v>-536</v>
      </c>
      <c r="F24" s="272">
        <f t="shared" si="10"/>
        <v>-319</v>
      </c>
      <c r="G24" s="220">
        <f t="shared" si="6"/>
        <v>217</v>
      </c>
      <c r="H24" s="93">
        <f t="shared" si="7"/>
        <v>59.514925373134332</v>
      </c>
      <c r="I24" s="48"/>
    </row>
    <row r="25" spans="1:16" s="24" customFormat="1" ht="32.25" customHeight="1">
      <c r="A25" s="277" t="s">
        <v>34</v>
      </c>
      <c r="B25" s="46">
        <v>1036</v>
      </c>
      <c r="C25" s="328">
        <v>-23268</v>
      </c>
      <c r="D25" s="363">
        <v>-27647</v>
      </c>
      <c r="E25" s="328">
        <v>-29690.7</v>
      </c>
      <c r="F25" s="272">
        <f t="shared" si="10"/>
        <v>-27647</v>
      </c>
      <c r="G25" s="220">
        <f t="shared" si="6"/>
        <v>2043.7000000000007</v>
      </c>
      <c r="H25" s="93">
        <f t="shared" si="7"/>
        <v>93.116699842038074</v>
      </c>
      <c r="I25" s="48"/>
    </row>
    <row r="26" spans="1:16" s="24" customFormat="1" ht="32.25" customHeight="1">
      <c r="A26" s="277" t="s">
        <v>35</v>
      </c>
      <c r="B26" s="46">
        <v>1037</v>
      </c>
      <c r="C26" s="328">
        <v>-4958</v>
      </c>
      <c r="D26" s="272">
        <v>-5754</v>
      </c>
      <c r="E26" s="328">
        <v>-6531.9</v>
      </c>
      <c r="F26" s="272">
        <f t="shared" si="10"/>
        <v>-5754</v>
      </c>
      <c r="G26" s="220">
        <f t="shared" si="6"/>
        <v>777.89999999999964</v>
      </c>
      <c r="H26" s="93">
        <f t="shared" si="7"/>
        <v>88.090754604326463</v>
      </c>
      <c r="I26" s="48"/>
    </row>
    <row r="27" spans="1:16" s="24" customFormat="1" ht="42">
      <c r="A27" s="277" t="s">
        <v>36</v>
      </c>
      <c r="B27" s="46">
        <v>1038</v>
      </c>
      <c r="C27" s="328">
        <v>-710</v>
      </c>
      <c r="D27" s="272">
        <v>-922</v>
      </c>
      <c r="E27" s="328">
        <v>-697.3</v>
      </c>
      <c r="F27" s="272">
        <f t="shared" si="10"/>
        <v>-922</v>
      </c>
      <c r="G27" s="220">
        <f t="shared" si="6"/>
        <v>-224.70000000000005</v>
      </c>
      <c r="H27" s="93">
        <f t="shared" si="7"/>
        <v>132.22429370428799</v>
      </c>
      <c r="I27" s="48"/>
    </row>
    <row r="28" spans="1:16" ht="42">
      <c r="A28" s="277" t="s">
        <v>37</v>
      </c>
      <c r="B28" s="46">
        <v>1039</v>
      </c>
      <c r="C28" s="272" t="s">
        <v>185</v>
      </c>
      <c r="D28" s="272" t="s">
        <v>185</v>
      </c>
      <c r="E28" s="272" t="s">
        <v>185</v>
      </c>
      <c r="F28" s="272" t="str">
        <f t="shared" si="10"/>
        <v>(    )</v>
      </c>
      <c r="G28" s="220">
        <f t="shared" si="6"/>
        <v>0</v>
      </c>
      <c r="H28" s="93">
        <f t="shared" si="7"/>
        <v>0</v>
      </c>
      <c r="I28" s="48"/>
    </row>
    <row r="29" spans="1:16" s="24" customFormat="1" ht="32.25" customHeight="1">
      <c r="A29" s="277" t="s">
        <v>38</v>
      </c>
      <c r="B29" s="46">
        <v>1040</v>
      </c>
      <c r="C29" s="272" t="s">
        <v>185</v>
      </c>
      <c r="D29" s="272"/>
      <c r="E29" s="272" t="s">
        <v>185</v>
      </c>
      <c r="F29" s="272">
        <f t="shared" si="10"/>
        <v>0</v>
      </c>
      <c r="G29" s="220">
        <f t="shared" si="6"/>
        <v>0</v>
      </c>
      <c r="H29" s="93">
        <f t="shared" si="7"/>
        <v>0</v>
      </c>
      <c r="I29" s="48"/>
    </row>
    <row r="30" spans="1:16" s="24" customFormat="1" ht="32.25" customHeight="1">
      <c r="A30" s="277" t="s">
        <v>39</v>
      </c>
      <c r="B30" s="46">
        <v>1041</v>
      </c>
      <c r="C30" s="328">
        <v>-5</v>
      </c>
      <c r="D30" s="272">
        <v>-5</v>
      </c>
      <c r="E30" s="328">
        <v>-20</v>
      </c>
      <c r="F30" s="272">
        <f t="shared" si="10"/>
        <v>-5</v>
      </c>
      <c r="G30" s="220">
        <f t="shared" si="6"/>
        <v>15</v>
      </c>
      <c r="H30" s="93">
        <f t="shared" si="7"/>
        <v>25</v>
      </c>
      <c r="I30" s="48"/>
    </row>
    <row r="31" spans="1:16" s="24" customFormat="1" ht="32.25" customHeight="1">
      <c r="A31" s="277" t="s">
        <v>40</v>
      </c>
      <c r="B31" s="46">
        <v>1042</v>
      </c>
      <c r="C31" s="328">
        <v>-211</v>
      </c>
      <c r="D31" s="272">
        <v>-116</v>
      </c>
      <c r="E31" s="328">
        <v>-216</v>
      </c>
      <c r="F31" s="272">
        <f t="shared" si="10"/>
        <v>-116</v>
      </c>
      <c r="G31" s="220">
        <f t="shared" si="6"/>
        <v>100</v>
      </c>
      <c r="H31" s="93">
        <f t="shared" si="7"/>
        <v>53.703703703703709</v>
      </c>
      <c r="I31" s="48"/>
    </row>
    <row r="32" spans="1:16" s="24" customFormat="1" ht="32.25" customHeight="1">
      <c r="A32" s="277" t="s">
        <v>56</v>
      </c>
      <c r="B32" s="46">
        <v>1043</v>
      </c>
      <c r="C32" s="328">
        <v>-116</v>
      </c>
      <c r="D32" s="272">
        <v>-89</v>
      </c>
      <c r="E32" s="328">
        <v>-75</v>
      </c>
      <c r="F32" s="272">
        <f t="shared" si="10"/>
        <v>-89</v>
      </c>
      <c r="G32" s="220">
        <f t="shared" si="6"/>
        <v>-14</v>
      </c>
      <c r="H32" s="93">
        <f t="shared" si="7"/>
        <v>118.66666666666667</v>
      </c>
      <c r="I32" s="48"/>
    </row>
    <row r="33" spans="1:9" s="24" customFormat="1" ht="32.25" customHeight="1">
      <c r="A33" s="277" t="s">
        <v>41</v>
      </c>
      <c r="B33" s="46">
        <v>1044</v>
      </c>
      <c r="C33" s="328">
        <v>-171</v>
      </c>
      <c r="D33" s="272">
        <v>-141</v>
      </c>
      <c r="E33" s="328">
        <v>-100</v>
      </c>
      <c r="F33" s="272">
        <f t="shared" si="10"/>
        <v>-141</v>
      </c>
      <c r="G33" s="220">
        <f t="shared" si="6"/>
        <v>-41</v>
      </c>
      <c r="H33" s="93">
        <f t="shared" si="7"/>
        <v>141</v>
      </c>
      <c r="I33" s="48"/>
    </row>
    <row r="34" spans="1:9" s="24" customFormat="1" ht="32.25" customHeight="1">
      <c r="A34" s="277" t="s">
        <v>42</v>
      </c>
      <c r="B34" s="46">
        <v>1045</v>
      </c>
      <c r="C34" s="328">
        <v>-49</v>
      </c>
      <c r="D34" s="272" t="s">
        <v>185</v>
      </c>
      <c r="E34" s="328" t="s">
        <v>185</v>
      </c>
      <c r="F34" s="272" t="str">
        <f t="shared" si="10"/>
        <v>(    )</v>
      </c>
      <c r="G34" s="220">
        <f t="shared" si="6"/>
        <v>0</v>
      </c>
      <c r="H34" s="93">
        <f t="shared" si="7"/>
        <v>0</v>
      </c>
      <c r="I34" s="48"/>
    </row>
    <row r="35" spans="1:9" s="24" customFormat="1" ht="32.25" customHeight="1">
      <c r="A35" s="277" t="s">
        <v>43</v>
      </c>
      <c r="B35" s="46">
        <v>1046</v>
      </c>
      <c r="C35" s="328">
        <v>-14</v>
      </c>
      <c r="D35" s="272">
        <v>0</v>
      </c>
      <c r="E35" s="328">
        <v>-10</v>
      </c>
      <c r="F35" s="272">
        <f t="shared" si="10"/>
        <v>0</v>
      </c>
      <c r="G35" s="220">
        <f t="shared" si="6"/>
        <v>10</v>
      </c>
      <c r="H35" s="93">
        <f t="shared" si="7"/>
        <v>0</v>
      </c>
      <c r="I35" s="48"/>
    </row>
    <row r="36" spans="1:9" s="24" customFormat="1" ht="32.25" customHeight="1">
      <c r="A36" s="277" t="s">
        <v>44</v>
      </c>
      <c r="B36" s="46">
        <v>1047</v>
      </c>
      <c r="C36" s="328">
        <v>-20</v>
      </c>
      <c r="D36" s="272">
        <v>-12</v>
      </c>
      <c r="E36" s="328">
        <v>-20</v>
      </c>
      <c r="F36" s="272">
        <f t="shared" si="10"/>
        <v>-12</v>
      </c>
      <c r="G36" s="220">
        <f t="shared" si="6"/>
        <v>8</v>
      </c>
      <c r="H36" s="93">
        <f t="shared" si="7"/>
        <v>60</v>
      </c>
      <c r="I36" s="48"/>
    </row>
    <row r="37" spans="1:9" ht="42">
      <c r="A37" s="277" t="s">
        <v>64</v>
      </c>
      <c r="B37" s="46">
        <v>1048</v>
      </c>
      <c r="C37" s="328">
        <v>-199</v>
      </c>
      <c r="D37" s="272">
        <v>-27</v>
      </c>
      <c r="E37" s="328">
        <v>-60</v>
      </c>
      <c r="F37" s="272">
        <f t="shared" si="10"/>
        <v>-27</v>
      </c>
      <c r="G37" s="220">
        <f t="shared" si="6"/>
        <v>33</v>
      </c>
      <c r="H37" s="93">
        <f t="shared" si="7"/>
        <v>45</v>
      </c>
      <c r="I37" s="48"/>
    </row>
    <row r="38" spans="1:9" s="24" customFormat="1" ht="32.25" customHeight="1">
      <c r="A38" s="277" t="s">
        <v>45</v>
      </c>
      <c r="B38" s="46" t="s">
        <v>359</v>
      </c>
      <c r="C38" s="328" t="s">
        <v>185</v>
      </c>
      <c r="D38" s="272"/>
      <c r="E38" s="328" t="s">
        <v>185</v>
      </c>
      <c r="F38" s="272">
        <f t="shared" si="10"/>
        <v>0</v>
      </c>
      <c r="G38" s="220">
        <f t="shared" si="6"/>
        <v>0</v>
      </c>
      <c r="H38" s="93">
        <f t="shared" si="7"/>
        <v>0</v>
      </c>
      <c r="I38" s="48"/>
    </row>
    <row r="39" spans="1:9" s="24" customFormat="1" ht="32.25" customHeight="1">
      <c r="A39" s="277" t="s">
        <v>85</v>
      </c>
      <c r="B39" s="46">
        <v>1049</v>
      </c>
      <c r="C39" s="328">
        <f>-'Розшифровка фінрезультати'!D27</f>
        <v>-1603.1</v>
      </c>
      <c r="D39" s="272">
        <f>-'Розшифровка фінрезультати'!F27</f>
        <v>-1614</v>
      </c>
      <c r="E39" s="328">
        <f>-'Розшифровка фінрезультати'!E27</f>
        <v>-1479.6</v>
      </c>
      <c r="F39" s="272">
        <f>D39</f>
        <v>-1614</v>
      </c>
      <c r="G39" s="220">
        <f t="shared" si="6"/>
        <v>-134.40000000000009</v>
      </c>
      <c r="H39" s="93">
        <f t="shared" si="7"/>
        <v>109.08353609083537</v>
      </c>
      <c r="I39" s="48"/>
    </row>
    <row r="40" spans="1:9" s="24" customFormat="1" ht="32.25" customHeight="1">
      <c r="A40" s="259" t="s">
        <v>131</v>
      </c>
      <c r="B40" s="85">
        <v>1060</v>
      </c>
      <c r="C40" s="327">
        <f>SUM(C41:C47)</f>
        <v>-33105.4</v>
      </c>
      <c r="D40" s="273">
        <f t="shared" ref="D40:F40" si="11">SUM(D41:D47)</f>
        <v>-23688</v>
      </c>
      <c r="E40" s="327">
        <f>SUM(E41:E47)</f>
        <v>-48614.3</v>
      </c>
      <c r="F40" s="273">
        <f t="shared" si="11"/>
        <v>-23688</v>
      </c>
      <c r="G40" s="219">
        <f t="shared" si="6"/>
        <v>24926.300000000003</v>
      </c>
      <c r="H40" s="89">
        <f t="shared" si="7"/>
        <v>48.726403547927255</v>
      </c>
      <c r="I40" s="85"/>
    </row>
    <row r="41" spans="1:9" s="24" customFormat="1" ht="32.25" customHeight="1">
      <c r="A41" s="277" t="s">
        <v>112</v>
      </c>
      <c r="B41" s="46">
        <v>1061</v>
      </c>
      <c r="C41" s="328" t="s">
        <v>185</v>
      </c>
      <c r="D41" s="272" t="s">
        <v>185</v>
      </c>
      <c r="E41" s="272" t="s">
        <v>185</v>
      </c>
      <c r="F41" s="272" t="s">
        <v>185</v>
      </c>
      <c r="G41" s="220">
        <f t="shared" si="6"/>
        <v>0</v>
      </c>
      <c r="H41" s="93">
        <f t="shared" si="7"/>
        <v>0</v>
      </c>
      <c r="I41" s="48"/>
    </row>
    <row r="42" spans="1:9" s="24" customFormat="1" ht="32.25" customHeight="1">
      <c r="A42" s="277" t="s">
        <v>113</v>
      </c>
      <c r="B42" s="46">
        <v>1062</v>
      </c>
      <c r="C42" s="328" t="s">
        <v>185</v>
      </c>
      <c r="D42" s="272" t="s">
        <v>185</v>
      </c>
      <c r="E42" s="272" t="s">
        <v>185</v>
      </c>
      <c r="F42" s="272" t="s">
        <v>185</v>
      </c>
      <c r="G42" s="220">
        <f t="shared" si="6"/>
        <v>0</v>
      </c>
      <c r="H42" s="93">
        <f t="shared" si="7"/>
        <v>0</v>
      </c>
      <c r="I42" s="48"/>
    </row>
    <row r="43" spans="1:9" s="24" customFormat="1" ht="32.25" customHeight="1">
      <c r="A43" s="277" t="s">
        <v>34</v>
      </c>
      <c r="B43" s="46">
        <v>1063</v>
      </c>
      <c r="C43" s="328">
        <v>-10928</v>
      </c>
      <c r="D43" s="363">
        <v>-9823</v>
      </c>
      <c r="E43" s="328">
        <v>-15496.7</v>
      </c>
      <c r="F43" s="272">
        <f>D43</f>
        <v>-9823</v>
      </c>
      <c r="G43" s="220">
        <f t="shared" si="6"/>
        <v>5673.7000000000007</v>
      </c>
      <c r="H43" s="93">
        <f t="shared" si="7"/>
        <v>63.387688991849878</v>
      </c>
      <c r="I43" s="48"/>
    </row>
    <row r="44" spans="1:9" s="24" customFormat="1" ht="32.25" customHeight="1">
      <c r="A44" s="277" t="s">
        <v>35</v>
      </c>
      <c r="B44" s="46">
        <v>1064</v>
      </c>
      <c r="C44" s="328">
        <v>-2283</v>
      </c>
      <c r="D44" s="272">
        <v>-2074</v>
      </c>
      <c r="E44" s="328">
        <v>-3409.3</v>
      </c>
      <c r="F44" s="272">
        <f t="shared" ref="F44:F46" si="12">D44</f>
        <v>-2074</v>
      </c>
      <c r="G44" s="220">
        <f t="shared" si="6"/>
        <v>1335.3000000000002</v>
      </c>
      <c r="H44" s="93">
        <f t="shared" si="7"/>
        <v>60.833602205731374</v>
      </c>
      <c r="I44" s="48"/>
    </row>
    <row r="45" spans="1:9" s="24" customFormat="1" ht="32.25" customHeight="1">
      <c r="A45" s="277" t="s">
        <v>55</v>
      </c>
      <c r="B45" s="46">
        <v>1065</v>
      </c>
      <c r="C45" s="328" t="s">
        <v>185</v>
      </c>
      <c r="D45" s="272" t="s">
        <v>185</v>
      </c>
      <c r="E45" s="272" t="s">
        <v>185</v>
      </c>
      <c r="F45" s="272" t="str">
        <f t="shared" si="12"/>
        <v>(    )</v>
      </c>
      <c r="G45" s="220">
        <f t="shared" si="6"/>
        <v>0</v>
      </c>
      <c r="H45" s="93">
        <f t="shared" si="7"/>
        <v>0</v>
      </c>
      <c r="I45" s="48"/>
    </row>
    <row r="46" spans="1:9" s="24" customFormat="1" ht="32.25" customHeight="1">
      <c r="A46" s="277" t="s">
        <v>67</v>
      </c>
      <c r="B46" s="46">
        <v>1066</v>
      </c>
      <c r="C46" s="328">
        <v>-4</v>
      </c>
      <c r="D46" s="272">
        <v>-1</v>
      </c>
      <c r="E46" s="328">
        <v>-10</v>
      </c>
      <c r="F46" s="272">
        <f t="shared" si="12"/>
        <v>-1</v>
      </c>
      <c r="G46" s="220">
        <f t="shared" si="6"/>
        <v>9</v>
      </c>
      <c r="H46" s="93">
        <f t="shared" si="7"/>
        <v>10</v>
      </c>
      <c r="I46" s="48"/>
    </row>
    <row r="47" spans="1:9" s="24" customFormat="1" ht="32.25" customHeight="1">
      <c r="A47" s="277" t="s">
        <v>418</v>
      </c>
      <c r="B47" s="46">
        <v>1067</v>
      </c>
      <c r="C47" s="328">
        <f>-'Розшифровка фінрезультати'!D36</f>
        <v>-19890.400000000001</v>
      </c>
      <c r="D47" s="272">
        <f>-'Розшифровка фінрезультати'!F36</f>
        <v>-11790</v>
      </c>
      <c r="E47" s="328">
        <f>-'Розшифровка фінрезультати'!E36</f>
        <v>-29698.3</v>
      </c>
      <c r="F47" s="272">
        <f>D47</f>
        <v>-11790</v>
      </c>
      <c r="G47" s="220">
        <f t="shared" si="6"/>
        <v>17908.3</v>
      </c>
      <c r="H47" s="93">
        <f t="shared" si="7"/>
        <v>39.699242044157415</v>
      </c>
      <c r="I47" s="48"/>
    </row>
    <row r="48" spans="1:9" s="24" customFormat="1" ht="32.25" customHeight="1">
      <c r="A48" s="84" t="s">
        <v>202</v>
      </c>
      <c r="B48" s="85">
        <v>1070</v>
      </c>
      <c r="C48" s="327">
        <f>SUM(C49:C51)</f>
        <v>430278</v>
      </c>
      <c r="D48" s="273">
        <f t="shared" ref="D48:F48" si="13">SUM(D49:D51)</f>
        <v>575539</v>
      </c>
      <c r="E48" s="327">
        <f>SUM(E49:E51)</f>
        <v>774487.6</v>
      </c>
      <c r="F48" s="273">
        <f t="shared" si="13"/>
        <v>575539</v>
      </c>
      <c r="G48" s="219">
        <f t="shared" si="6"/>
        <v>-198948.59999999998</v>
      </c>
      <c r="H48" s="89">
        <f t="shared" si="7"/>
        <v>74.312229143500815</v>
      </c>
      <c r="I48" s="84"/>
    </row>
    <row r="49" spans="1:9" s="24" customFormat="1" ht="32.25" customHeight="1">
      <c r="A49" s="277" t="s">
        <v>128</v>
      </c>
      <c r="B49" s="46">
        <v>1071</v>
      </c>
      <c r="C49" s="328"/>
      <c r="D49" s="272"/>
      <c r="E49" s="272"/>
      <c r="F49" s="272"/>
      <c r="G49" s="220">
        <f t="shared" si="6"/>
        <v>0</v>
      </c>
      <c r="H49" s="93">
        <f t="shared" si="7"/>
        <v>0</v>
      </c>
      <c r="I49" s="48"/>
    </row>
    <row r="50" spans="1:9" s="24" customFormat="1" ht="32.25" customHeight="1">
      <c r="A50" s="277" t="s">
        <v>231</v>
      </c>
      <c r="B50" s="46">
        <v>1072</v>
      </c>
      <c r="C50" s="328"/>
      <c r="D50" s="272"/>
      <c r="E50" s="272"/>
      <c r="F50" s="272"/>
      <c r="G50" s="220">
        <f t="shared" si="6"/>
        <v>0</v>
      </c>
      <c r="H50" s="93">
        <f t="shared" si="7"/>
        <v>0</v>
      </c>
      <c r="I50" s="48"/>
    </row>
    <row r="51" spans="1:9" s="24" customFormat="1" ht="32.25" customHeight="1">
      <c r="A51" s="277" t="s">
        <v>203</v>
      </c>
      <c r="B51" s="46">
        <v>1073</v>
      </c>
      <c r="C51" s="328">
        <f>'Розшифровка фінрезультати'!D68</f>
        <v>430278</v>
      </c>
      <c r="D51" s="272">
        <f>'Розшифровка фінрезультати'!F68</f>
        <v>575539</v>
      </c>
      <c r="E51" s="328">
        <f>'Розшифровка фінрезультати'!E68</f>
        <v>774487.6</v>
      </c>
      <c r="F51" s="272">
        <f>D51</f>
        <v>575539</v>
      </c>
      <c r="G51" s="220">
        <f t="shared" si="6"/>
        <v>-198948.59999999998</v>
      </c>
      <c r="H51" s="93">
        <f t="shared" si="7"/>
        <v>74.312229143500815</v>
      </c>
      <c r="I51" s="48"/>
    </row>
    <row r="52" spans="1:9" s="24" customFormat="1" ht="32.25" customHeight="1">
      <c r="A52" s="84" t="s">
        <v>68</v>
      </c>
      <c r="B52" s="85">
        <v>1080</v>
      </c>
      <c r="C52" s="327">
        <f>SUM(C53:C58)</f>
        <v>-6921.0000000000009</v>
      </c>
      <c r="D52" s="273">
        <f t="shared" ref="D52:F52" si="14">SUM(D53:D58)</f>
        <v>-8396</v>
      </c>
      <c r="E52" s="327">
        <f t="shared" si="14"/>
        <v>-8387.6</v>
      </c>
      <c r="F52" s="273">
        <f t="shared" si="14"/>
        <v>-8396</v>
      </c>
      <c r="G52" s="219">
        <f t="shared" si="6"/>
        <v>-8.3999999999996362</v>
      </c>
      <c r="H52" s="89">
        <f t="shared" si="7"/>
        <v>100.1001478372836</v>
      </c>
      <c r="I52" s="84"/>
    </row>
    <row r="53" spans="1:9" s="24" customFormat="1" ht="32.25" customHeight="1">
      <c r="A53" s="277" t="s">
        <v>128</v>
      </c>
      <c r="B53" s="46">
        <v>1081</v>
      </c>
      <c r="C53" s="328" t="s">
        <v>185</v>
      </c>
      <c r="D53" s="272" t="s">
        <v>185</v>
      </c>
      <c r="E53" s="328" t="s">
        <v>185</v>
      </c>
      <c r="F53" s="272" t="s">
        <v>185</v>
      </c>
      <c r="G53" s="220">
        <f t="shared" si="6"/>
        <v>0</v>
      </c>
      <c r="H53" s="93">
        <f t="shared" si="7"/>
        <v>0</v>
      </c>
      <c r="I53" s="48"/>
    </row>
    <row r="54" spans="1:9" s="24" customFormat="1" ht="32.25" customHeight="1">
      <c r="A54" s="277" t="s">
        <v>293</v>
      </c>
      <c r="B54" s="46">
        <v>1082</v>
      </c>
      <c r="C54" s="328" t="s">
        <v>185</v>
      </c>
      <c r="D54" s="272" t="s">
        <v>185</v>
      </c>
      <c r="E54" s="328" t="s">
        <v>185</v>
      </c>
      <c r="F54" s="272" t="s">
        <v>185</v>
      </c>
      <c r="G54" s="220">
        <f t="shared" si="6"/>
        <v>0</v>
      </c>
      <c r="H54" s="93">
        <f t="shared" si="7"/>
        <v>0</v>
      </c>
      <c r="I54" s="48"/>
    </row>
    <row r="55" spans="1:9" s="24" customFormat="1" ht="32.25" customHeight="1">
      <c r="A55" s="277" t="s">
        <v>62</v>
      </c>
      <c r="B55" s="46">
        <v>1083</v>
      </c>
      <c r="C55" s="328" t="s">
        <v>185</v>
      </c>
      <c r="D55" s="272" t="s">
        <v>185</v>
      </c>
      <c r="E55" s="328" t="s">
        <v>185</v>
      </c>
      <c r="F55" s="272" t="s">
        <v>185</v>
      </c>
      <c r="G55" s="220">
        <f t="shared" si="6"/>
        <v>0</v>
      </c>
      <c r="H55" s="93">
        <f t="shared" si="7"/>
        <v>0</v>
      </c>
      <c r="I55" s="48"/>
    </row>
    <row r="56" spans="1:9" s="24" customFormat="1" ht="32.25" customHeight="1">
      <c r="A56" s="277" t="s">
        <v>46</v>
      </c>
      <c r="B56" s="46">
        <v>1084</v>
      </c>
      <c r="C56" s="328" t="s">
        <v>185</v>
      </c>
      <c r="D56" s="272" t="s">
        <v>185</v>
      </c>
      <c r="E56" s="328" t="s">
        <v>185</v>
      </c>
      <c r="F56" s="272" t="s">
        <v>185</v>
      </c>
      <c r="G56" s="220">
        <f t="shared" si="6"/>
        <v>0</v>
      </c>
      <c r="H56" s="93">
        <f t="shared" si="7"/>
        <v>0</v>
      </c>
      <c r="I56" s="48"/>
    </row>
    <row r="57" spans="1:9" s="24" customFormat="1" ht="32.25" customHeight="1">
      <c r="A57" s="277" t="s">
        <v>54</v>
      </c>
      <c r="B57" s="46">
        <v>1085</v>
      </c>
      <c r="C57" s="328" t="s">
        <v>185</v>
      </c>
      <c r="D57" s="272" t="s">
        <v>185</v>
      </c>
      <c r="E57" s="328" t="s">
        <v>185</v>
      </c>
      <c r="F57" s="272" t="s">
        <v>185</v>
      </c>
      <c r="G57" s="220">
        <f t="shared" si="6"/>
        <v>0</v>
      </c>
      <c r="H57" s="93">
        <f t="shared" si="7"/>
        <v>0</v>
      </c>
      <c r="I57" s="48"/>
    </row>
    <row r="58" spans="1:9" s="24" customFormat="1" ht="32.25" customHeight="1">
      <c r="A58" s="277" t="s">
        <v>142</v>
      </c>
      <c r="B58" s="46">
        <v>1086</v>
      </c>
      <c r="C58" s="328">
        <f>-'Розшифровка фінрезультати'!D42</f>
        <v>-6921.0000000000009</v>
      </c>
      <c r="D58" s="272">
        <f>-'Розшифровка фінрезультати'!F42</f>
        <v>-8396</v>
      </c>
      <c r="E58" s="328">
        <f>-'Розшифровка фінрезультати'!E42</f>
        <v>-8387.6</v>
      </c>
      <c r="F58" s="272">
        <f>D58</f>
        <v>-8396</v>
      </c>
      <c r="G58" s="220">
        <f t="shared" si="6"/>
        <v>-8.3999999999996362</v>
      </c>
      <c r="H58" s="93">
        <f t="shared" si="7"/>
        <v>100.1001478372836</v>
      </c>
      <c r="I58" s="48"/>
    </row>
    <row r="59" spans="1:9" s="24" customFormat="1" ht="32.25" customHeight="1">
      <c r="A59" s="84" t="s">
        <v>4</v>
      </c>
      <c r="B59" s="85">
        <v>1100</v>
      </c>
      <c r="C59" s="329">
        <f>SUM(C18,C19,C40,C48,C52)</f>
        <v>-18174.199999999953</v>
      </c>
      <c r="D59" s="308">
        <f t="shared" ref="D59:F59" si="15">SUM(D18,D19,D40,D48,D52)</f>
        <v>-11125</v>
      </c>
      <c r="E59" s="329">
        <f t="shared" si="15"/>
        <v>1253.4000000001161</v>
      </c>
      <c r="F59" s="308">
        <f t="shared" si="15"/>
        <v>-11125</v>
      </c>
      <c r="G59" s="219">
        <f t="shared" si="6"/>
        <v>-12378.400000000116</v>
      </c>
      <c r="H59" s="89">
        <f t="shared" si="7"/>
        <v>-887.58576671445417</v>
      </c>
      <c r="I59" s="84"/>
    </row>
    <row r="60" spans="1:9" s="24" customFormat="1" ht="32.25" customHeight="1">
      <c r="A60" s="277" t="s">
        <v>83</v>
      </c>
      <c r="B60" s="46">
        <v>1110</v>
      </c>
      <c r="C60" s="272"/>
      <c r="D60" s="272"/>
      <c r="E60" s="272"/>
      <c r="F60" s="272"/>
      <c r="G60" s="220">
        <f t="shared" si="6"/>
        <v>0</v>
      </c>
      <c r="H60" s="93">
        <f t="shared" si="7"/>
        <v>0</v>
      </c>
      <c r="I60" s="48"/>
    </row>
    <row r="61" spans="1:9" s="24" customFormat="1" ht="32.25" customHeight="1">
      <c r="A61" s="277" t="s">
        <v>87</v>
      </c>
      <c r="B61" s="46">
        <v>1120</v>
      </c>
      <c r="C61" s="272" t="s">
        <v>185</v>
      </c>
      <c r="D61" s="272" t="s">
        <v>185</v>
      </c>
      <c r="E61" s="272" t="s">
        <v>185</v>
      </c>
      <c r="F61" s="272" t="s">
        <v>185</v>
      </c>
      <c r="G61" s="220">
        <f t="shared" si="6"/>
        <v>0</v>
      </c>
      <c r="H61" s="93">
        <f t="shared" si="7"/>
        <v>0</v>
      </c>
      <c r="I61" s="48"/>
    </row>
    <row r="62" spans="1:9" s="24" customFormat="1" ht="32.25" customHeight="1">
      <c r="A62" s="84" t="s">
        <v>84</v>
      </c>
      <c r="B62" s="85">
        <v>1130</v>
      </c>
      <c r="C62" s="329">
        <f>'Розшифровка фінрезультати'!D85</f>
        <v>192</v>
      </c>
      <c r="D62" s="308">
        <f>'Розшифровка фінрезультати'!F85</f>
        <v>2585</v>
      </c>
      <c r="E62" s="329">
        <f>'Розшифровка фінрезультати'!E85</f>
        <v>155</v>
      </c>
      <c r="F62" s="308">
        <f>D62</f>
        <v>2585</v>
      </c>
      <c r="G62" s="219">
        <f t="shared" si="6"/>
        <v>2430</v>
      </c>
      <c r="H62" s="89">
        <f t="shared" si="7"/>
        <v>1667.7419354838707</v>
      </c>
      <c r="I62" s="84"/>
    </row>
    <row r="63" spans="1:9" s="24" customFormat="1" ht="32.25" customHeight="1">
      <c r="A63" s="84" t="s">
        <v>86</v>
      </c>
      <c r="B63" s="85">
        <v>1140</v>
      </c>
      <c r="C63" s="327">
        <f>-'Розшифровка фінрезультати'!D54</f>
        <v>-3988</v>
      </c>
      <c r="D63" s="273">
        <f>-'Розшифровка фінрезультати'!F54</f>
        <v>-7110</v>
      </c>
      <c r="E63" s="327">
        <f>-'Розшифровка фінрезультати'!E54</f>
        <v>-6895.5</v>
      </c>
      <c r="F63" s="273">
        <f>D63</f>
        <v>-7110</v>
      </c>
      <c r="G63" s="219">
        <f t="shared" si="6"/>
        <v>-214.5</v>
      </c>
      <c r="H63" s="89">
        <f t="shared" si="7"/>
        <v>103.11072438546877</v>
      </c>
      <c r="I63" s="84"/>
    </row>
    <row r="64" spans="1:9" s="24" customFormat="1" ht="32.25" customHeight="1">
      <c r="A64" s="84" t="s">
        <v>204</v>
      </c>
      <c r="B64" s="85">
        <v>1150</v>
      </c>
      <c r="C64" s="330">
        <f>SUM(C65:C66)</f>
        <v>6237</v>
      </c>
      <c r="D64" s="309">
        <f t="shared" ref="D64:F64" si="16">SUM(D65:D66)</f>
        <v>5717</v>
      </c>
      <c r="E64" s="330">
        <f t="shared" si="16"/>
        <v>5517.9</v>
      </c>
      <c r="F64" s="309">
        <f t="shared" si="16"/>
        <v>5717</v>
      </c>
      <c r="G64" s="219">
        <f t="shared" si="6"/>
        <v>199.10000000000036</v>
      </c>
      <c r="H64" s="89">
        <f t="shared" si="7"/>
        <v>103.60825676434877</v>
      </c>
      <c r="I64" s="84"/>
    </row>
    <row r="65" spans="1:9" s="24" customFormat="1" ht="32.25" customHeight="1">
      <c r="A65" s="277" t="s">
        <v>128</v>
      </c>
      <c r="B65" s="46">
        <v>1151</v>
      </c>
      <c r="C65" s="328"/>
      <c r="D65" s="272"/>
      <c r="E65" s="328"/>
      <c r="F65" s="272"/>
      <c r="G65" s="220">
        <f t="shared" si="6"/>
        <v>0</v>
      </c>
      <c r="H65" s="93">
        <f t="shared" si="7"/>
        <v>0</v>
      </c>
      <c r="I65" s="48"/>
    </row>
    <row r="66" spans="1:9" s="24" customFormat="1" ht="32.25" customHeight="1">
      <c r="A66" s="277" t="s">
        <v>205</v>
      </c>
      <c r="B66" s="46">
        <v>1152</v>
      </c>
      <c r="C66" s="328">
        <f>'Розшифровка фінрезультати'!D87</f>
        <v>6237</v>
      </c>
      <c r="D66" s="272">
        <f>'Розшифровка фінрезультати'!F87</f>
        <v>5717</v>
      </c>
      <c r="E66" s="328">
        <f>'Розшифровка фінрезультати'!E87</f>
        <v>5517.9</v>
      </c>
      <c r="F66" s="272">
        <f>D66</f>
        <v>5717</v>
      </c>
      <c r="G66" s="220">
        <f t="shared" si="6"/>
        <v>199.10000000000036</v>
      </c>
      <c r="H66" s="93">
        <f t="shared" si="7"/>
        <v>103.60825676434877</v>
      </c>
      <c r="I66" s="48"/>
    </row>
    <row r="67" spans="1:9" s="24" customFormat="1" ht="32.25" customHeight="1">
      <c r="A67" s="84" t="s">
        <v>206</v>
      </c>
      <c r="B67" s="85">
        <v>1160</v>
      </c>
      <c r="C67" s="327">
        <f>SUM(C68:C69)</f>
        <v>-24</v>
      </c>
      <c r="D67" s="273">
        <f t="shared" ref="D67:F67" si="17">SUM(D68:D69)</f>
        <v>-4260</v>
      </c>
      <c r="E67" s="327">
        <f t="shared" si="17"/>
        <v>-30</v>
      </c>
      <c r="F67" s="273">
        <f t="shared" si="17"/>
        <v>-4260</v>
      </c>
      <c r="G67" s="219">
        <f t="shared" si="6"/>
        <v>-4230</v>
      </c>
      <c r="H67" s="89">
        <f t="shared" si="7"/>
        <v>14200</v>
      </c>
      <c r="I67" s="84"/>
    </row>
    <row r="68" spans="1:9" s="24" customFormat="1" ht="32.25" customHeight="1">
      <c r="A68" s="277" t="s">
        <v>128</v>
      </c>
      <c r="B68" s="46">
        <v>1161</v>
      </c>
      <c r="C68" s="328" t="s">
        <v>185</v>
      </c>
      <c r="D68" s="272" t="s">
        <v>185</v>
      </c>
      <c r="E68" s="328" t="s">
        <v>185</v>
      </c>
      <c r="F68" s="272" t="s">
        <v>185</v>
      </c>
      <c r="G68" s="220">
        <f t="shared" si="6"/>
        <v>0</v>
      </c>
      <c r="H68" s="93">
        <f t="shared" si="7"/>
        <v>0</v>
      </c>
      <c r="I68" s="48"/>
    </row>
    <row r="69" spans="1:9" s="24" customFormat="1" ht="32.25" customHeight="1">
      <c r="A69" s="277" t="s">
        <v>91</v>
      </c>
      <c r="B69" s="46">
        <v>1162</v>
      </c>
      <c r="C69" s="328">
        <f>-'Розшифровка фінрезультати'!D61</f>
        <v>-24</v>
      </c>
      <c r="D69" s="272">
        <f>-'Розшифровка фінрезультати'!F61</f>
        <v>-4260</v>
      </c>
      <c r="E69" s="328">
        <f>-'Розшифровка фінрезультати'!E61</f>
        <v>-30</v>
      </c>
      <c r="F69" s="272">
        <f>D69</f>
        <v>-4260</v>
      </c>
      <c r="G69" s="220">
        <f t="shared" si="6"/>
        <v>-4230</v>
      </c>
      <c r="H69" s="93">
        <f t="shared" si="7"/>
        <v>14200</v>
      </c>
      <c r="I69" s="48"/>
    </row>
    <row r="70" spans="1:9" s="24" customFormat="1" ht="32.25" customHeight="1">
      <c r="A70" s="259" t="s">
        <v>74</v>
      </c>
      <c r="B70" s="43">
        <v>1170</v>
      </c>
      <c r="C70" s="327">
        <f>SUM(C59,C60,C61,C62,C63,C64,C67)</f>
        <v>-15757.199999999953</v>
      </c>
      <c r="D70" s="273">
        <f t="shared" ref="D70:F70" si="18">SUM(D59,D60,D61,D62,D63,D64,D67)</f>
        <v>-14193</v>
      </c>
      <c r="E70" s="273">
        <f>ROUNDDOWN(SUM(E59,E60,E61,E62,E63,E64,E67),0)</f>
        <v>0</v>
      </c>
      <c r="F70" s="273">
        <f t="shared" si="18"/>
        <v>-14193</v>
      </c>
      <c r="G70" s="219">
        <f t="shared" si="6"/>
        <v>-14193</v>
      </c>
      <c r="H70" s="89">
        <f t="shared" si="7"/>
        <v>0</v>
      </c>
      <c r="I70" s="45"/>
    </row>
    <row r="71" spans="1:9" s="24" customFormat="1" ht="32.25" customHeight="1">
      <c r="A71" s="277" t="s">
        <v>197</v>
      </c>
      <c r="B71" s="46">
        <v>1180</v>
      </c>
      <c r="C71" s="272" t="s">
        <v>185</v>
      </c>
      <c r="D71" s="272" t="s">
        <v>185</v>
      </c>
      <c r="E71" s="272" t="s">
        <v>185</v>
      </c>
      <c r="F71" s="272" t="s">
        <v>185</v>
      </c>
      <c r="G71" s="220">
        <f t="shared" si="6"/>
        <v>0</v>
      </c>
      <c r="H71" s="93">
        <f t="shared" si="7"/>
        <v>0</v>
      </c>
      <c r="I71" s="48"/>
    </row>
    <row r="72" spans="1:9" s="24" customFormat="1" ht="32.25" customHeight="1">
      <c r="A72" s="277" t="s">
        <v>198</v>
      </c>
      <c r="B72" s="46">
        <v>1181</v>
      </c>
      <c r="C72" s="272"/>
      <c r="D72" s="272"/>
      <c r="E72" s="272"/>
      <c r="F72" s="272"/>
      <c r="G72" s="220">
        <f t="shared" si="6"/>
        <v>0</v>
      </c>
      <c r="H72" s="93">
        <f t="shared" si="7"/>
        <v>0</v>
      </c>
      <c r="I72" s="48"/>
    </row>
    <row r="73" spans="1:9" s="24" customFormat="1" ht="32.25" customHeight="1">
      <c r="A73" s="277" t="s">
        <v>199</v>
      </c>
      <c r="B73" s="46">
        <v>1190</v>
      </c>
      <c r="C73" s="272"/>
      <c r="D73" s="272"/>
      <c r="E73" s="272"/>
      <c r="F73" s="272"/>
      <c r="G73" s="220">
        <f t="shared" si="6"/>
        <v>0</v>
      </c>
      <c r="H73" s="93">
        <f t="shared" si="7"/>
        <v>0</v>
      </c>
      <c r="I73" s="48"/>
    </row>
    <row r="74" spans="1:9" s="24" customFormat="1" ht="32.25" customHeight="1">
      <c r="A74" s="277" t="s">
        <v>200</v>
      </c>
      <c r="B74" s="46">
        <v>1191</v>
      </c>
      <c r="C74" s="272" t="s">
        <v>185</v>
      </c>
      <c r="D74" s="272" t="s">
        <v>185</v>
      </c>
      <c r="E74" s="272" t="s">
        <v>185</v>
      </c>
      <c r="F74" s="272" t="s">
        <v>185</v>
      </c>
      <c r="G74" s="220">
        <f t="shared" si="6"/>
        <v>0</v>
      </c>
      <c r="H74" s="93">
        <f t="shared" si="7"/>
        <v>0</v>
      </c>
      <c r="I74" s="48"/>
    </row>
    <row r="75" spans="1:9" s="24" customFormat="1" ht="32.25" customHeight="1">
      <c r="A75" s="84" t="s">
        <v>221</v>
      </c>
      <c r="B75" s="85">
        <v>1200</v>
      </c>
      <c r="C75" s="329">
        <f>SUM(C70,C71,C72,C73,C74)</f>
        <v>-15757.199999999953</v>
      </c>
      <c r="D75" s="308">
        <f t="shared" ref="D75:F75" si="19">SUM(D70,D71,D72,D73,D74)</f>
        <v>-14193</v>
      </c>
      <c r="E75" s="308">
        <f t="shared" si="19"/>
        <v>0</v>
      </c>
      <c r="F75" s="308">
        <f t="shared" si="19"/>
        <v>-14193</v>
      </c>
      <c r="G75" s="219">
        <f t="shared" si="6"/>
        <v>-14193</v>
      </c>
      <c r="H75" s="89">
        <f t="shared" si="7"/>
        <v>0</v>
      </c>
      <c r="I75" s="84"/>
    </row>
    <row r="76" spans="1:9" s="24" customFormat="1" ht="32.25" customHeight="1">
      <c r="A76" s="277" t="s">
        <v>24</v>
      </c>
      <c r="B76" s="46">
        <v>1201</v>
      </c>
      <c r="C76" s="328" t="str">
        <f>IF(C75&gt;=0,C75,"")</f>
        <v/>
      </c>
      <c r="D76" s="272" t="str">
        <f t="shared" ref="D76:F76" si="20">IF(D75&gt;=0,D75,"")</f>
        <v/>
      </c>
      <c r="E76" s="272">
        <f t="shared" si="20"/>
        <v>0</v>
      </c>
      <c r="F76" s="272" t="str">
        <f t="shared" si="20"/>
        <v/>
      </c>
      <c r="G76" s="220">
        <f>IF(F76="",0,F76)-IF(E76="",0,E76)</f>
        <v>0</v>
      </c>
      <c r="H76" s="93">
        <f>IF(IF(E76="",0,E76)=0,0,IF(F76="",0,F76)/IF(E76="",0,E76))*100</f>
        <v>0</v>
      </c>
      <c r="I76" s="48"/>
    </row>
    <row r="77" spans="1:9" s="24" customFormat="1" ht="32.25" customHeight="1">
      <c r="A77" s="277" t="s">
        <v>25</v>
      </c>
      <c r="B77" s="46">
        <v>1202</v>
      </c>
      <c r="C77" s="328">
        <f>IF(C75&lt;0,C75,"")</f>
        <v>-15757.199999999953</v>
      </c>
      <c r="D77" s="272">
        <f t="shared" ref="D77:F77" si="21">IF(D75&lt;0,D75,"")</f>
        <v>-14193</v>
      </c>
      <c r="E77" s="328" t="str">
        <f t="shared" si="21"/>
        <v/>
      </c>
      <c r="F77" s="272">
        <f t="shared" si="21"/>
        <v>-14193</v>
      </c>
      <c r="G77" s="220">
        <f>IF(F77="",0,F77)-IF(E77="",0,E77)</f>
        <v>-14193</v>
      </c>
      <c r="H77" s="93">
        <f>IF(IF(E77="",0,E77)=0,0,IF(F77="",0,F77)/IF(E77="",0,E77))*100</f>
        <v>0</v>
      </c>
      <c r="I77" s="48"/>
    </row>
    <row r="78" spans="1:9" s="24" customFormat="1" ht="32.25" customHeight="1">
      <c r="A78" s="84" t="s">
        <v>19</v>
      </c>
      <c r="B78" s="85">
        <v>1210</v>
      </c>
      <c r="C78" s="327">
        <f>SUM(C8,C48,C60,C62,C64,C72,C73)</f>
        <v>623460</v>
      </c>
      <c r="D78" s="273">
        <f t="shared" ref="D78:F78" si="22">SUM(D8,D48,D60,D62,D64,D72,D73)</f>
        <v>701507</v>
      </c>
      <c r="E78" s="327">
        <f t="shared" si="22"/>
        <v>1053570.2999999998</v>
      </c>
      <c r="F78" s="273">
        <f t="shared" si="22"/>
        <v>701507</v>
      </c>
      <c r="G78" s="219">
        <f t="shared" ref="G78:G95" si="23">IF(F78="(    )",0,F78)-IF(E78="(    )",0,E78)</f>
        <v>-352063.29999999981</v>
      </c>
      <c r="H78" s="89">
        <f t="shared" ref="H78:H95" si="24">IF(IF(E78="(    )",0,E78)=0,0,IF(F78="(    )",0,F78)/IF(E78="(    )",0,E78))*100</f>
        <v>66.583786577886656</v>
      </c>
      <c r="I78" s="84"/>
    </row>
    <row r="79" spans="1:9" s="24" customFormat="1" ht="32.25" customHeight="1">
      <c r="A79" s="84" t="s">
        <v>89</v>
      </c>
      <c r="B79" s="85">
        <v>1220</v>
      </c>
      <c r="C79" s="329">
        <f>SUM(C9,C19,C40,C52,C61,C63,C67,C71,C74)</f>
        <v>-639217.19999999995</v>
      </c>
      <c r="D79" s="308">
        <f t="shared" ref="D79:F79" si="25">SUM(D9,D19,D40,D52,D61,D63,D67,D71,D74)</f>
        <v>-715700</v>
      </c>
      <c r="E79" s="329">
        <f t="shared" si="25"/>
        <v>-1053569.5</v>
      </c>
      <c r="F79" s="308">
        <f t="shared" si="25"/>
        <v>-715700</v>
      </c>
      <c r="G79" s="219">
        <f t="shared" si="23"/>
        <v>337869.5</v>
      </c>
      <c r="H79" s="89">
        <f t="shared" si="24"/>
        <v>67.930971805846696</v>
      </c>
      <c r="I79" s="84"/>
    </row>
    <row r="80" spans="1:9" s="24" customFormat="1" ht="32.25" customHeight="1">
      <c r="A80" s="277" t="s">
        <v>143</v>
      </c>
      <c r="B80" s="46">
        <v>1230</v>
      </c>
      <c r="C80" s="272"/>
      <c r="D80" s="272"/>
      <c r="E80" s="272"/>
      <c r="F80" s="272"/>
      <c r="G80" s="220">
        <f t="shared" si="23"/>
        <v>0</v>
      </c>
      <c r="H80" s="93">
        <f t="shared" si="24"/>
        <v>0</v>
      </c>
      <c r="I80" s="48"/>
    </row>
    <row r="81" spans="1:9" s="24" customFormat="1" ht="32.25" customHeight="1">
      <c r="A81" s="481" t="s">
        <v>106</v>
      </c>
      <c r="B81" s="482"/>
      <c r="C81" s="482"/>
      <c r="D81" s="482"/>
      <c r="E81" s="482"/>
      <c r="F81" s="482"/>
      <c r="G81" s="482"/>
      <c r="H81" s="482"/>
      <c r="I81" s="483"/>
    </row>
    <row r="82" spans="1:9" s="24" customFormat="1" ht="32.25" customHeight="1">
      <c r="A82" s="277" t="s">
        <v>152</v>
      </c>
      <c r="B82" s="46">
        <v>1300</v>
      </c>
      <c r="C82" s="328">
        <f t="shared" ref="C82:D82" si="26">C59</f>
        <v>-18174.199999999953</v>
      </c>
      <c r="D82" s="272">
        <f t="shared" si="26"/>
        <v>-11125</v>
      </c>
      <c r="E82" s="328">
        <f t="shared" ref="E82" si="27">E59</f>
        <v>1253.4000000001161</v>
      </c>
      <c r="F82" s="272">
        <f t="shared" ref="F82" si="28">F59</f>
        <v>-11125</v>
      </c>
      <c r="G82" s="220">
        <f t="shared" si="23"/>
        <v>-12378.400000000116</v>
      </c>
      <c r="H82" s="93">
        <f t="shared" si="24"/>
        <v>-887.58576671445417</v>
      </c>
      <c r="I82" s="48"/>
    </row>
    <row r="83" spans="1:9" s="24" customFormat="1" ht="32.25" customHeight="1">
      <c r="A83" s="277" t="s">
        <v>271</v>
      </c>
      <c r="B83" s="46">
        <v>1301</v>
      </c>
      <c r="C83" s="328">
        <f t="shared" ref="C83:D83" si="29">C93</f>
        <v>29002</v>
      </c>
      <c r="D83" s="272">
        <f t="shared" si="29"/>
        <v>40417</v>
      </c>
      <c r="E83" s="328">
        <f t="shared" ref="E83" si="30">E93</f>
        <v>40821.5</v>
      </c>
      <c r="F83" s="272">
        <f t="shared" ref="F83" si="31">F93</f>
        <v>40417</v>
      </c>
      <c r="G83" s="220">
        <f t="shared" si="23"/>
        <v>-404.5</v>
      </c>
      <c r="H83" s="93">
        <f t="shared" si="24"/>
        <v>99.009100596499394</v>
      </c>
      <c r="I83" s="48"/>
    </row>
    <row r="84" spans="1:9" s="24" customFormat="1" ht="32.25" customHeight="1">
      <c r="A84" s="277" t="s">
        <v>272</v>
      </c>
      <c r="B84" s="46">
        <v>1302</v>
      </c>
      <c r="C84" s="321">
        <f t="shared" ref="C84:D84" si="32">-C49</f>
        <v>0</v>
      </c>
      <c r="D84" s="220">
        <f t="shared" si="32"/>
        <v>0</v>
      </c>
      <c r="E84" s="321">
        <f t="shared" ref="E84" si="33">-E49</f>
        <v>0</v>
      </c>
      <c r="F84" s="220">
        <f t="shared" ref="F84" si="34">-F49</f>
        <v>0</v>
      </c>
      <c r="G84" s="220">
        <f t="shared" si="23"/>
        <v>0</v>
      </c>
      <c r="H84" s="93">
        <f t="shared" si="24"/>
        <v>0</v>
      </c>
      <c r="I84" s="48"/>
    </row>
    <row r="85" spans="1:9" s="24" customFormat="1" ht="32.25" customHeight="1">
      <c r="A85" s="277" t="s">
        <v>273</v>
      </c>
      <c r="B85" s="46">
        <v>1303</v>
      </c>
      <c r="C85" s="321">
        <f t="shared" ref="C85:D85" si="35">-IF(C53="(    )",0,C53)</f>
        <v>0</v>
      </c>
      <c r="D85" s="220">
        <f t="shared" si="35"/>
        <v>0</v>
      </c>
      <c r="E85" s="321">
        <f t="shared" ref="E85" si="36">-IF(E53="(    )",0,E53)</f>
        <v>0</v>
      </c>
      <c r="F85" s="220">
        <f t="shared" ref="F85" si="37">-IF(F53="(    )",0,F53)</f>
        <v>0</v>
      </c>
      <c r="G85" s="220">
        <f t="shared" si="23"/>
        <v>0</v>
      </c>
      <c r="H85" s="93">
        <f t="shared" si="24"/>
        <v>0</v>
      </c>
      <c r="I85" s="48"/>
    </row>
    <row r="86" spans="1:9" s="24" customFormat="1" ht="32.25" customHeight="1">
      <c r="A86" s="277" t="s">
        <v>274</v>
      </c>
      <c r="B86" s="46">
        <v>1304</v>
      </c>
      <c r="C86" s="321">
        <f t="shared" ref="C86:D86" si="38">-C50</f>
        <v>0</v>
      </c>
      <c r="D86" s="220">
        <f t="shared" si="38"/>
        <v>0</v>
      </c>
      <c r="E86" s="321">
        <f t="shared" ref="E86" si="39">-E50</f>
        <v>0</v>
      </c>
      <c r="F86" s="220">
        <f t="shared" ref="F86" si="40">-F50</f>
        <v>0</v>
      </c>
      <c r="G86" s="220">
        <f t="shared" si="23"/>
        <v>0</v>
      </c>
      <c r="H86" s="93">
        <f t="shared" si="24"/>
        <v>0</v>
      </c>
      <c r="I86" s="48"/>
    </row>
    <row r="87" spans="1:9" s="24" customFormat="1" ht="32.25" customHeight="1">
      <c r="A87" s="277" t="s">
        <v>275</v>
      </c>
      <c r="B87" s="46">
        <v>1305</v>
      </c>
      <c r="C87" s="328">
        <f t="shared" ref="C87:D87" si="41">-IF(C54="(    )",0,C54)</f>
        <v>0</v>
      </c>
      <c r="D87" s="272">
        <f t="shared" si="41"/>
        <v>0</v>
      </c>
      <c r="E87" s="328">
        <f t="shared" ref="E87" si="42">-IF(E54="(    )",0,E54)</f>
        <v>0</v>
      </c>
      <c r="F87" s="272">
        <f t="shared" ref="F87" si="43">-IF(F54="(    )",0,F54)</f>
        <v>0</v>
      </c>
      <c r="G87" s="220">
        <f t="shared" ref="G87:G88" si="44">IF(F87="(    )",0,F87)-IF(E87="(    )",0,E87)</f>
        <v>0</v>
      </c>
      <c r="H87" s="93">
        <f t="shared" ref="H87:H88" si="45">IF(IF(E87="(    )",0,E87)=0,0,IF(F87="(    )",0,F87)/IF(E87="(    )",0,E87))*100</f>
        <v>0</v>
      </c>
      <c r="I87" s="48"/>
    </row>
    <row r="88" spans="1:9" s="24" customFormat="1" ht="32.25" customHeight="1">
      <c r="A88" s="84" t="s">
        <v>100</v>
      </c>
      <c r="B88" s="85">
        <v>1310</v>
      </c>
      <c r="C88" s="331">
        <f>SUM(C82:C87)</f>
        <v>10827.800000000047</v>
      </c>
      <c r="D88" s="310">
        <f t="shared" ref="D88:F88" si="46">SUM(D82:D87)</f>
        <v>29292</v>
      </c>
      <c r="E88" s="331">
        <f>ROUNDUP(SUM(E82:E87),0)</f>
        <v>42075</v>
      </c>
      <c r="F88" s="310">
        <f t="shared" si="46"/>
        <v>29292</v>
      </c>
      <c r="G88" s="219">
        <f t="shared" si="44"/>
        <v>-12783</v>
      </c>
      <c r="H88" s="89">
        <f t="shared" si="45"/>
        <v>69.618538324420669</v>
      </c>
      <c r="I88" s="84"/>
    </row>
    <row r="89" spans="1:9" s="24" customFormat="1" ht="32.25" customHeight="1">
      <c r="A89" s="259" t="s">
        <v>134</v>
      </c>
      <c r="B89" s="43"/>
      <c r="C89" s="273"/>
      <c r="D89" s="273"/>
      <c r="E89" s="273"/>
      <c r="F89" s="273"/>
      <c r="G89" s="219"/>
      <c r="H89" s="89"/>
      <c r="I89" s="45"/>
    </row>
    <row r="90" spans="1:9" s="24" customFormat="1" ht="32.25" customHeight="1">
      <c r="A90" s="277" t="s">
        <v>415</v>
      </c>
      <c r="B90" s="46">
        <v>1400</v>
      </c>
      <c r="C90" s="328">
        <v>206057</v>
      </c>
      <c r="D90" s="439">
        <v>268191</v>
      </c>
      <c r="E90" s="328">
        <v>442564.6</v>
      </c>
      <c r="F90" s="272">
        <f>D90</f>
        <v>268191</v>
      </c>
      <c r="G90" s="220">
        <f t="shared" si="23"/>
        <v>-174373.59999999998</v>
      </c>
      <c r="H90" s="93">
        <f t="shared" si="24"/>
        <v>60.59928878179592</v>
      </c>
      <c r="I90" s="48"/>
    </row>
    <row r="91" spans="1:9" s="24" customFormat="1" ht="32.25" customHeight="1">
      <c r="A91" s="277" t="s">
        <v>5</v>
      </c>
      <c r="B91" s="46">
        <v>1410</v>
      </c>
      <c r="C91" s="328">
        <v>295481</v>
      </c>
      <c r="D91" s="439">
        <v>295325</v>
      </c>
      <c r="E91" s="328">
        <v>375192.5</v>
      </c>
      <c r="F91" s="272">
        <f t="shared" ref="F91:F94" si="47">D91</f>
        <v>295325</v>
      </c>
      <c r="G91" s="220">
        <f t="shared" si="23"/>
        <v>-79867.5</v>
      </c>
      <c r="H91" s="93">
        <f t="shared" si="24"/>
        <v>78.71292736395317</v>
      </c>
      <c r="I91" s="48"/>
    </row>
    <row r="92" spans="1:9" s="24" customFormat="1" ht="32.25" customHeight="1">
      <c r="A92" s="277" t="s">
        <v>6</v>
      </c>
      <c r="B92" s="46">
        <v>1420</v>
      </c>
      <c r="C92" s="328">
        <v>68406</v>
      </c>
      <c r="D92" s="439">
        <v>70337</v>
      </c>
      <c r="E92" s="328">
        <v>88536.8</v>
      </c>
      <c r="F92" s="272">
        <f t="shared" si="47"/>
        <v>70337</v>
      </c>
      <c r="G92" s="220">
        <f t="shared" si="23"/>
        <v>-18199.800000000003</v>
      </c>
      <c r="H92" s="93">
        <f t="shared" si="24"/>
        <v>79.443801899323219</v>
      </c>
      <c r="I92" s="48"/>
    </row>
    <row r="93" spans="1:9" s="24" customFormat="1" ht="32.25" customHeight="1">
      <c r="A93" s="277" t="s">
        <v>7</v>
      </c>
      <c r="B93" s="46">
        <v>1430</v>
      </c>
      <c r="C93" s="328">
        <v>29002</v>
      </c>
      <c r="D93" s="439">
        <v>40417</v>
      </c>
      <c r="E93" s="328">
        <v>40821.5</v>
      </c>
      <c r="F93" s="272">
        <f t="shared" si="47"/>
        <v>40417</v>
      </c>
      <c r="G93" s="220">
        <f t="shared" si="23"/>
        <v>-404.5</v>
      </c>
      <c r="H93" s="93">
        <f t="shared" si="24"/>
        <v>99.009100596499394</v>
      </c>
      <c r="I93" s="48"/>
    </row>
    <row r="94" spans="1:9" s="24" customFormat="1" ht="32.25" customHeight="1">
      <c r="A94" s="277" t="s">
        <v>27</v>
      </c>
      <c r="B94" s="46">
        <v>1440</v>
      </c>
      <c r="C94" s="328">
        <v>35985</v>
      </c>
      <c r="D94" s="439">
        <v>29722</v>
      </c>
      <c r="E94" s="328">
        <v>99529.2</v>
      </c>
      <c r="F94" s="272">
        <f t="shared" si="47"/>
        <v>29722</v>
      </c>
      <c r="G94" s="220">
        <f t="shared" si="23"/>
        <v>-69807.199999999997</v>
      </c>
      <c r="H94" s="93">
        <f t="shared" si="24"/>
        <v>29.862593088259526</v>
      </c>
      <c r="I94" s="48"/>
    </row>
    <row r="95" spans="1:9" s="24" customFormat="1" ht="32.25" customHeight="1">
      <c r="A95" s="84" t="s">
        <v>50</v>
      </c>
      <c r="B95" s="159">
        <v>1450</v>
      </c>
      <c r="C95" s="329">
        <f>SUM(C90,C91:C94)</f>
        <v>634931</v>
      </c>
      <c r="D95" s="308">
        <f>SUM(D90,D91:D94)</f>
        <v>703992</v>
      </c>
      <c r="E95" s="329">
        <f>SUM(E90,E91:E94)</f>
        <v>1046644.6</v>
      </c>
      <c r="F95" s="308">
        <f>SUM(F90,F91:F94)</f>
        <v>703992</v>
      </c>
      <c r="G95" s="219">
        <f t="shared" si="23"/>
        <v>-342652.6</v>
      </c>
      <c r="H95" s="89">
        <f t="shared" si="24"/>
        <v>67.26180023285842</v>
      </c>
      <c r="I95" s="84"/>
    </row>
    <row r="96" spans="1:9" s="24" customFormat="1" ht="162.6" customHeight="1">
      <c r="A96" s="49"/>
      <c r="B96" s="50"/>
      <c r="C96" s="50"/>
      <c r="D96" s="50"/>
      <c r="E96" s="50"/>
      <c r="F96" s="50"/>
      <c r="G96" s="50"/>
      <c r="H96" s="50"/>
      <c r="I96" s="50"/>
    </row>
    <row r="97" spans="1:9" s="60" customFormat="1" ht="31.2" customHeight="1">
      <c r="A97" s="465" t="s">
        <v>569</v>
      </c>
      <c r="B97" s="465"/>
      <c r="C97" s="393"/>
      <c r="D97" s="466" t="s">
        <v>80</v>
      </c>
      <c r="E97" s="466"/>
      <c r="F97" s="195"/>
      <c r="H97" s="394" t="s">
        <v>570</v>
      </c>
      <c r="I97" s="394"/>
    </row>
    <row r="98" spans="1:9" s="124" customFormat="1" hidden="1">
      <c r="A98" s="258" t="s">
        <v>360</v>
      </c>
      <c r="C98" s="452" t="s">
        <v>66</v>
      </c>
      <c r="D98" s="452"/>
      <c r="F98" s="452" t="s">
        <v>172</v>
      </c>
      <c r="G98" s="452"/>
      <c r="H98" s="452"/>
    </row>
    <row r="99" spans="1:9">
      <c r="A99" s="5"/>
    </row>
    <row r="100" spans="1:9">
      <c r="A100" s="5"/>
    </row>
    <row r="101" spans="1:9">
      <c r="A101" s="5"/>
    </row>
    <row r="102" spans="1:9">
      <c r="A102" s="5"/>
    </row>
    <row r="103" spans="1:9">
      <c r="A103" s="5"/>
    </row>
    <row r="104" spans="1:9">
      <c r="A104" s="5"/>
    </row>
    <row r="105" spans="1:9">
      <c r="A105" s="5"/>
    </row>
    <row r="106" spans="1:9">
      <c r="A106" s="5"/>
    </row>
    <row r="107" spans="1:9">
      <c r="A107" s="5"/>
    </row>
    <row r="108" spans="1:9">
      <c r="A108" s="5"/>
    </row>
    <row r="109" spans="1:9">
      <c r="A109" s="5"/>
    </row>
    <row r="110" spans="1:9">
      <c r="A110" s="5"/>
    </row>
    <row r="111" spans="1:9">
      <c r="A111" s="5"/>
    </row>
    <row r="112" spans="1:9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123"/>
    </row>
    <row r="158" spans="1:1">
      <c r="A158" s="123"/>
    </row>
    <row r="159" spans="1:1">
      <c r="A159" s="123"/>
    </row>
    <row r="160" spans="1:1">
      <c r="A160" s="123"/>
    </row>
    <row r="161" spans="1:1">
      <c r="A161" s="123"/>
    </row>
    <row r="162" spans="1:1">
      <c r="A162" s="123"/>
    </row>
    <row r="163" spans="1:1">
      <c r="A163" s="123"/>
    </row>
    <row r="164" spans="1:1">
      <c r="A164" s="123"/>
    </row>
    <row r="165" spans="1:1">
      <c r="A165" s="123"/>
    </row>
    <row r="166" spans="1:1">
      <c r="A166" s="123"/>
    </row>
    <row r="167" spans="1:1">
      <c r="A167" s="123"/>
    </row>
    <row r="168" spans="1:1">
      <c r="A168" s="123"/>
    </row>
    <row r="169" spans="1:1">
      <c r="A169" s="123"/>
    </row>
    <row r="170" spans="1:1">
      <c r="A170" s="123"/>
    </row>
    <row r="171" spans="1:1">
      <c r="A171" s="123"/>
    </row>
    <row r="172" spans="1:1">
      <c r="A172" s="123"/>
    </row>
    <row r="173" spans="1:1">
      <c r="A173" s="123"/>
    </row>
    <row r="174" spans="1:1">
      <c r="A174" s="123"/>
    </row>
    <row r="175" spans="1:1">
      <c r="A175" s="123"/>
    </row>
    <row r="176" spans="1:1">
      <c r="A176" s="123"/>
    </row>
    <row r="177" spans="1:1">
      <c r="A177" s="123"/>
    </row>
    <row r="178" spans="1:1">
      <c r="A178" s="123"/>
    </row>
    <row r="179" spans="1:1">
      <c r="A179" s="123"/>
    </row>
    <row r="180" spans="1:1">
      <c r="A180" s="123"/>
    </row>
    <row r="181" spans="1:1">
      <c r="A181" s="123"/>
    </row>
    <row r="182" spans="1:1">
      <c r="A182" s="123"/>
    </row>
    <row r="183" spans="1:1">
      <c r="A183" s="123"/>
    </row>
    <row r="184" spans="1:1">
      <c r="A184" s="123"/>
    </row>
    <row r="185" spans="1:1">
      <c r="A185" s="123"/>
    </row>
    <row r="186" spans="1:1">
      <c r="A186" s="123"/>
    </row>
    <row r="187" spans="1:1">
      <c r="A187" s="123"/>
    </row>
    <row r="188" spans="1:1">
      <c r="A188" s="123"/>
    </row>
    <row r="189" spans="1:1">
      <c r="A189" s="123"/>
    </row>
    <row r="190" spans="1:1">
      <c r="A190" s="123"/>
    </row>
    <row r="191" spans="1:1">
      <c r="A191" s="123"/>
    </row>
    <row r="192" spans="1:1">
      <c r="A192" s="123"/>
    </row>
    <row r="193" spans="1:1">
      <c r="A193" s="123"/>
    </row>
    <row r="194" spans="1:1">
      <c r="A194" s="123"/>
    </row>
    <row r="195" spans="1:1">
      <c r="A195" s="123"/>
    </row>
    <row r="196" spans="1:1">
      <c r="A196" s="123"/>
    </row>
    <row r="197" spans="1:1">
      <c r="A197" s="123"/>
    </row>
    <row r="198" spans="1:1">
      <c r="A198" s="123"/>
    </row>
    <row r="199" spans="1:1">
      <c r="A199" s="123"/>
    </row>
    <row r="200" spans="1:1">
      <c r="A200" s="123"/>
    </row>
    <row r="201" spans="1:1">
      <c r="A201" s="123"/>
    </row>
    <row r="202" spans="1:1">
      <c r="A202" s="123"/>
    </row>
    <row r="203" spans="1:1">
      <c r="A203" s="123"/>
    </row>
    <row r="204" spans="1:1">
      <c r="A204" s="123"/>
    </row>
    <row r="205" spans="1:1">
      <c r="A205" s="123"/>
    </row>
    <row r="206" spans="1:1">
      <c r="A206" s="123"/>
    </row>
    <row r="207" spans="1:1">
      <c r="A207" s="123"/>
    </row>
    <row r="208" spans="1:1">
      <c r="A208" s="123"/>
    </row>
    <row r="209" spans="1:1">
      <c r="A209" s="123"/>
    </row>
    <row r="210" spans="1:1">
      <c r="A210" s="123"/>
    </row>
    <row r="211" spans="1:1">
      <c r="A211" s="123"/>
    </row>
    <row r="212" spans="1:1">
      <c r="A212" s="123"/>
    </row>
    <row r="213" spans="1:1">
      <c r="A213" s="123"/>
    </row>
    <row r="214" spans="1:1">
      <c r="A214" s="123"/>
    </row>
    <row r="215" spans="1:1">
      <c r="A215" s="123"/>
    </row>
    <row r="216" spans="1:1">
      <c r="A216" s="123"/>
    </row>
    <row r="217" spans="1:1">
      <c r="A217" s="123"/>
    </row>
    <row r="218" spans="1:1">
      <c r="A218" s="123"/>
    </row>
    <row r="219" spans="1:1">
      <c r="A219" s="123"/>
    </row>
    <row r="220" spans="1:1">
      <c r="A220" s="123"/>
    </row>
    <row r="221" spans="1:1">
      <c r="A221" s="123"/>
    </row>
    <row r="222" spans="1:1">
      <c r="A222" s="123"/>
    </row>
    <row r="223" spans="1:1">
      <c r="A223" s="123"/>
    </row>
    <row r="224" spans="1:1">
      <c r="A224" s="123"/>
    </row>
    <row r="225" spans="1:1">
      <c r="A225" s="123"/>
    </row>
    <row r="226" spans="1:1">
      <c r="A226" s="123"/>
    </row>
    <row r="227" spans="1:1">
      <c r="A227" s="123"/>
    </row>
    <row r="228" spans="1:1">
      <c r="A228" s="123"/>
    </row>
    <row r="229" spans="1:1">
      <c r="A229" s="123"/>
    </row>
    <row r="230" spans="1:1">
      <c r="A230" s="123"/>
    </row>
    <row r="231" spans="1:1">
      <c r="A231" s="123"/>
    </row>
    <row r="232" spans="1:1">
      <c r="A232" s="123"/>
    </row>
    <row r="233" spans="1:1">
      <c r="A233" s="123"/>
    </row>
    <row r="234" spans="1:1">
      <c r="A234" s="123"/>
    </row>
    <row r="235" spans="1:1">
      <c r="A235" s="123"/>
    </row>
    <row r="236" spans="1:1">
      <c r="A236" s="123"/>
    </row>
    <row r="237" spans="1:1">
      <c r="A237" s="123"/>
    </row>
    <row r="238" spans="1:1">
      <c r="A238" s="123"/>
    </row>
    <row r="239" spans="1:1">
      <c r="A239" s="123"/>
    </row>
    <row r="240" spans="1:1">
      <c r="A240" s="123"/>
    </row>
    <row r="241" spans="1:1">
      <c r="A241" s="123"/>
    </row>
    <row r="242" spans="1:1">
      <c r="A242" s="123"/>
    </row>
    <row r="243" spans="1:1">
      <c r="A243" s="123"/>
    </row>
    <row r="244" spans="1:1">
      <c r="A244" s="123"/>
    </row>
    <row r="245" spans="1:1">
      <c r="A245" s="123"/>
    </row>
    <row r="246" spans="1:1">
      <c r="A246" s="123"/>
    </row>
    <row r="247" spans="1:1">
      <c r="A247" s="123"/>
    </row>
    <row r="248" spans="1:1">
      <c r="A248" s="123"/>
    </row>
    <row r="249" spans="1:1">
      <c r="A249" s="123"/>
    </row>
    <row r="250" spans="1:1">
      <c r="A250" s="123"/>
    </row>
    <row r="251" spans="1:1">
      <c r="A251" s="123"/>
    </row>
    <row r="252" spans="1:1">
      <c r="A252" s="123"/>
    </row>
    <row r="253" spans="1:1">
      <c r="A253" s="123"/>
    </row>
    <row r="254" spans="1:1">
      <c r="A254" s="123"/>
    </row>
    <row r="255" spans="1:1">
      <c r="A255" s="123"/>
    </row>
    <row r="256" spans="1:1">
      <c r="A256" s="123"/>
    </row>
    <row r="257" spans="1:1">
      <c r="A257" s="123"/>
    </row>
    <row r="258" spans="1:1">
      <c r="A258" s="123"/>
    </row>
    <row r="259" spans="1:1">
      <c r="A259" s="123"/>
    </row>
    <row r="260" spans="1:1">
      <c r="A260" s="123"/>
    </row>
    <row r="261" spans="1:1">
      <c r="A261" s="123"/>
    </row>
    <row r="262" spans="1:1">
      <c r="A262" s="123"/>
    </row>
    <row r="263" spans="1:1">
      <c r="A263" s="123"/>
    </row>
    <row r="264" spans="1:1">
      <c r="A264" s="123"/>
    </row>
    <row r="265" spans="1:1">
      <c r="A265" s="123"/>
    </row>
    <row r="266" spans="1:1">
      <c r="A266" s="123"/>
    </row>
    <row r="267" spans="1:1">
      <c r="A267" s="123"/>
    </row>
    <row r="268" spans="1:1">
      <c r="A268" s="123"/>
    </row>
    <row r="269" spans="1:1">
      <c r="A269" s="123"/>
    </row>
    <row r="270" spans="1:1">
      <c r="A270" s="123"/>
    </row>
    <row r="271" spans="1:1">
      <c r="A271" s="123"/>
    </row>
    <row r="272" spans="1:1">
      <c r="A272" s="123"/>
    </row>
    <row r="273" spans="1:1">
      <c r="A273" s="123"/>
    </row>
    <row r="274" spans="1:1">
      <c r="A274" s="123"/>
    </row>
    <row r="275" spans="1:1">
      <c r="A275" s="123"/>
    </row>
    <row r="276" spans="1:1">
      <c r="A276" s="123"/>
    </row>
    <row r="277" spans="1:1">
      <c r="A277" s="123"/>
    </row>
    <row r="278" spans="1:1">
      <c r="A278" s="123"/>
    </row>
    <row r="279" spans="1:1">
      <c r="A279" s="123"/>
    </row>
    <row r="280" spans="1:1">
      <c r="A280" s="123"/>
    </row>
    <row r="281" spans="1:1">
      <c r="A281" s="123"/>
    </row>
    <row r="282" spans="1:1">
      <c r="A282" s="123"/>
    </row>
    <row r="283" spans="1:1">
      <c r="A283" s="123"/>
    </row>
    <row r="284" spans="1:1">
      <c r="A284" s="123"/>
    </row>
    <row r="285" spans="1:1">
      <c r="A285" s="123"/>
    </row>
    <row r="286" spans="1:1">
      <c r="A286" s="123"/>
    </row>
    <row r="287" spans="1:1">
      <c r="A287" s="123"/>
    </row>
    <row r="288" spans="1:1">
      <c r="A288" s="123"/>
    </row>
    <row r="289" spans="1:1">
      <c r="A289" s="123"/>
    </row>
    <row r="290" spans="1:1">
      <c r="A290" s="123"/>
    </row>
    <row r="291" spans="1:1">
      <c r="A291" s="123"/>
    </row>
    <row r="292" spans="1:1">
      <c r="A292" s="123"/>
    </row>
    <row r="293" spans="1:1">
      <c r="A293" s="123"/>
    </row>
    <row r="294" spans="1:1">
      <c r="A294" s="123"/>
    </row>
    <row r="295" spans="1:1">
      <c r="A295" s="123"/>
    </row>
    <row r="296" spans="1:1">
      <c r="A296" s="123"/>
    </row>
    <row r="297" spans="1:1">
      <c r="A297" s="123"/>
    </row>
    <row r="298" spans="1:1">
      <c r="A298" s="123"/>
    </row>
    <row r="299" spans="1:1">
      <c r="A299" s="123"/>
    </row>
    <row r="300" spans="1:1">
      <c r="A300" s="123"/>
    </row>
    <row r="301" spans="1:1">
      <c r="A301" s="123"/>
    </row>
    <row r="302" spans="1:1">
      <c r="A302" s="123"/>
    </row>
    <row r="303" spans="1:1">
      <c r="A303" s="123"/>
    </row>
    <row r="304" spans="1:1">
      <c r="A304" s="123"/>
    </row>
    <row r="305" spans="1:1">
      <c r="A305" s="123"/>
    </row>
    <row r="306" spans="1:1">
      <c r="A306" s="123"/>
    </row>
    <row r="307" spans="1:1">
      <c r="A307" s="123"/>
    </row>
    <row r="308" spans="1:1">
      <c r="A308" s="123"/>
    </row>
    <row r="309" spans="1:1">
      <c r="A309" s="123"/>
    </row>
    <row r="310" spans="1:1">
      <c r="A310" s="123"/>
    </row>
    <row r="311" spans="1:1">
      <c r="A311" s="123"/>
    </row>
    <row r="312" spans="1:1">
      <c r="A312" s="123"/>
    </row>
    <row r="313" spans="1:1">
      <c r="A313" s="123"/>
    </row>
    <row r="314" spans="1:1">
      <c r="A314" s="123"/>
    </row>
    <row r="315" spans="1:1">
      <c r="A315" s="123"/>
    </row>
    <row r="316" spans="1:1">
      <c r="A316" s="123"/>
    </row>
    <row r="317" spans="1:1">
      <c r="A317" s="123"/>
    </row>
    <row r="318" spans="1:1">
      <c r="A318" s="123"/>
    </row>
    <row r="319" spans="1:1">
      <c r="A319" s="123"/>
    </row>
    <row r="320" spans="1:1">
      <c r="A320" s="123"/>
    </row>
    <row r="321" spans="1:1">
      <c r="A321" s="123"/>
    </row>
    <row r="322" spans="1:1">
      <c r="A322" s="123"/>
    </row>
    <row r="323" spans="1:1">
      <c r="A323" s="123"/>
    </row>
  </sheetData>
  <mergeCells count="11">
    <mergeCell ref="C98:D98"/>
    <mergeCell ref="F98:H98"/>
    <mergeCell ref="A2:I2"/>
    <mergeCell ref="C4:D4"/>
    <mergeCell ref="E4:I4"/>
    <mergeCell ref="B4:B5"/>
    <mergeCell ref="A4:A5"/>
    <mergeCell ref="A7:I7"/>
    <mergeCell ref="A81:I81"/>
    <mergeCell ref="A97:B97"/>
    <mergeCell ref="D97:E97"/>
  </mergeCells>
  <phoneticPr fontId="0" type="noConversion"/>
  <printOptions horizontalCentered="1"/>
  <pageMargins left="0.59055118110236227" right="0.59055118110236227" top="0.98425196850393704" bottom="0.59055118110236227" header="0" footer="0"/>
  <pageSetup paperSize="9" scale="49" fitToHeight="0" orientation="landscape" blackAndWhite="1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K251"/>
  <sheetViews>
    <sheetView zoomScale="80" zoomScaleNormal="80" zoomScaleSheetLayoutView="87" workbookViewId="0">
      <selection activeCell="C1" sqref="C1:F1048576"/>
    </sheetView>
  </sheetViews>
  <sheetFormatPr defaultColWidth="9.109375" defaultRowHeight="18"/>
  <cols>
    <col min="1" max="1" width="9.109375" style="115"/>
    <col min="2" max="2" width="58" style="115" customWidth="1"/>
    <col min="3" max="3" width="12.88671875" style="180" customWidth="1"/>
    <col min="4" max="4" width="15.6640625" style="348" customWidth="1"/>
    <col min="5" max="5" width="18" style="180" customWidth="1"/>
    <col min="6" max="6" width="16.6640625" style="180" customWidth="1"/>
    <col min="7" max="8" width="16.33203125" style="180" customWidth="1"/>
    <col min="9" max="10" width="9.109375" style="115"/>
    <col min="11" max="11" width="10.109375" style="115" bestFit="1" customWidth="1"/>
    <col min="12" max="12" width="9.109375" style="115"/>
    <col min="13" max="13" width="10.109375" style="115" bestFit="1" customWidth="1"/>
    <col min="14" max="16384" width="9.109375" style="115"/>
  </cols>
  <sheetData>
    <row r="2" spans="1:8">
      <c r="B2" s="484" t="s">
        <v>400</v>
      </c>
      <c r="C2" s="484"/>
      <c r="D2" s="484"/>
      <c r="E2" s="484"/>
      <c r="F2" s="484"/>
      <c r="G2" s="484"/>
      <c r="H2" s="484"/>
    </row>
    <row r="3" spans="1:8">
      <c r="B3" s="260"/>
      <c r="C3" s="106"/>
      <c r="D3" s="355"/>
      <c r="E3" s="260"/>
      <c r="F3" s="260"/>
      <c r="G3" s="260"/>
      <c r="H3" s="106" t="s">
        <v>435</v>
      </c>
    </row>
    <row r="4" spans="1:8" ht="54.6" customHeight="1">
      <c r="A4" s="489" t="s">
        <v>153</v>
      </c>
      <c r="B4" s="489"/>
      <c r="C4" s="161" t="s">
        <v>18</v>
      </c>
      <c r="D4" s="345" t="s">
        <v>428</v>
      </c>
      <c r="E4" s="161" t="s">
        <v>429</v>
      </c>
      <c r="F4" s="161" t="s">
        <v>430</v>
      </c>
      <c r="G4" s="161" t="s">
        <v>413</v>
      </c>
      <c r="H4" s="197" t="s">
        <v>431</v>
      </c>
    </row>
    <row r="5" spans="1:8" ht="18" customHeight="1">
      <c r="A5" s="489">
        <v>1</v>
      </c>
      <c r="B5" s="489"/>
      <c r="C5" s="161">
        <v>2</v>
      </c>
      <c r="D5" s="402">
        <v>3</v>
      </c>
      <c r="E5" s="161">
        <v>4</v>
      </c>
      <c r="F5" s="161">
        <v>5</v>
      </c>
      <c r="G5" s="161">
        <v>6</v>
      </c>
      <c r="H5" s="161">
        <v>7</v>
      </c>
    </row>
    <row r="6" spans="1:8" ht="23.25" customHeight="1">
      <c r="A6" s="485" t="s">
        <v>458</v>
      </c>
      <c r="B6" s="485"/>
      <c r="C6" s="485"/>
      <c r="D6" s="485"/>
      <c r="E6" s="485"/>
      <c r="F6" s="485"/>
      <c r="G6" s="485"/>
      <c r="H6" s="485"/>
    </row>
    <row r="7" spans="1:8" ht="55.8" customHeight="1">
      <c r="A7" s="161"/>
      <c r="B7" s="268" t="s">
        <v>459</v>
      </c>
      <c r="C7" s="267" t="s">
        <v>460</v>
      </c>
      <c r="D7" s="332">
        <f>SUM(D8:D26)</f>
        <v>12183.7</v>
      </c>
      <c r="E7" s="332">
        <f>SUM(E8:E26)</f>
        <v>11051.000000000002</v>
      </c>
      <c r="F7" s="231">
        <f t="shared" ref="F7" si="0">SUM(F8:F26)</f>
        <v>12218</v>
      </c>
      <c r="G7" s="231">
        <f>F7-E7</f>
        <v>1166.9999999999982</v>
      </c>
      <c r="H7" s="181">
        <f>(F7/E7)*100</f>
        <v>110.56013030494975</v>
      </c>
    </row>
    <row r="8" spans="1:8" ht="22.5" customHeight="1">
      <c r="A8" s="182">
        <v>1</v>
      </c>
      <c r="B8" s="183" t="s">
        <v>461</v>
      </c>
      <c r="C8" s="183"/>
      <c r="D8" s="333">
        <v>28.8</v>
      </c>
      <c r="E8" s="333">
        <v>53</v>
      </c>
      <c r="F8" s="229"/>
      <c r="G8" s="229">
        <f t="shared" ref="G8:G71" si="1">F8-E8</f>
        <v>-53</v>
      </c>
      <c r="H8" s="184">
        <f t="shared" ref="H8:H71" si="2">(F8/E8)*100</f>
        <v>0</v>
      </c>
    </row>
    <row r="9" spans="1:8" s="24" customFormat="1" ht="20.399999999999999" customHeight="1">
      <c r="A9" s="182">
        <v>2</v>
      </c>
      <c r="B9" s="183" t="s">
        <v>462</v>
      </c>
      <c r="C9" s="183"/>
      <c r="D9" s="333">
        <v>8548.4</v>
      </c>
      <c r="E9" s="333">
        <v>6675.2</v>
      </c>
      <c r="F9" s="229">
        <v>9468</v>
      </c>
      <c r="G9" s="229">
        <f t="shared" si="1"/>
        <v>2792.8</v>
      </c>
      <c r="H9" s="184">
        <f t="shared" si="2"/>
        <v>141.83844678811121</v>
      </c>
    </row>
    <row r="10" spans="1:8" s="24" customFormat="1" ht="19.2" customHeight="1">
      <c r="A10" s="182">
        <v>3</v>
      </c>
      <c r="B10" s="183" t="s">
        <v>463</v>
      </c>
      <c r="C10" s="183"/>
      <c r="D10" s="403">
        <v>159.69999999999999</v>
      </c>
      <c r="E10" s="333">
        <v>180</v>
      </c>
      <c r="F10" s="229">
        <v>159</v>
      </c>
      <c r="G10" s="229">
        <f t="shared" si="1"/>
        <v>-21</v>
      </c>
      <c r="H10" s="184">
        <f t="shared" si="2"/>
        <v>88.333333333333329</v>
      </c>
    </row>
    <row r="11" spans="1:8" s="24" customFormat="1" ht="19.2" customHeight="1">
      <c r="A11" s="182">
        <v>4</v>
      </c>
      <c r="B11" s="183" t="s">
        <v>464</v>
      </c>
      <c r="C11" s="183"/>
      <c r="D11" s="333">
        <v>402.5</v>
      </c>
      <c r="E11" s="333">
        <v>449</v>
      </c>
      <c r="F11" s="229">
        <v>470</v>
      </c>
      <c r="G11" s="229">
        <f t="shared" si="1"/>
        <v>21</v>
      </c>
      <c r="H11" s="184">
        <f t="shared" si="2"/>
        <v>104.67706013363029</v>
      </c>
    </row>
    <row r="12" spans="1:8" s="24" customFormat="1" ht="19.95" customHeight="1">
      <c r="A12" s="182">
        <v>5</v>
      </c>
      <c r="B12" s="183" t="s">
        <v>465</v>
      </c>
      <c r="C12" s="183"/>
      <c r="D12" s="403">
        <v>2051</v>
      </c>
      <c r="E12" s="333">
        <v>2866</v>
      </c>
      <c r="F12" s="229">
        <v>1094</v>
      </c>
      <c r="G12" s="229">
        <f t="shared" si="1"/>
        <v>-1772</v>
      </c>
      <c r="H12" s="184">
        <f t="shared" si="2"/>
        <v>38.171667829727845</v>
      </c>
    </row>
    <row r="13" spans="1:8" s="24" customFormat="1" ht="39" customHeight="1">
      <c r="A13" s="182">
        <v>6</v>
      </c>
      <c r="B13" s="183" t="s">
        <v>466</v>
      </c>
      <c r="C13" s="183"/>
      <c r="D13" s="333">
        <v>322.8</v>
      </c>
      <c r="E13" s="333">
        <v>250</v>
      </c>
      <c r="F13" s="229">
        <v>371</v>
      </c>
      <c r="G13" s="229">
        <f t="shared" si="1"/>
        <v>121</v>
      </c>
      <c r="H13" s="184">
        <f t="shared" si="2"/>
        <v>148.4</v>
      </c>
    </row>
    <row r="14" spans="1:8" s="24" customFormat="1" ht="23.25" customHeight="1">
      <c r="A14" s="182">
        <v>7</v>
      </c>
      <c r="B14" s="183" t="s">
        <v>467</v>
      </c>
      <c r="C14" s="183"/>
      <c r="D14" s="403">
        <v>92.2</v>
      </c>
      <c r="E14" s="333"/>
      <c r="F14" s="229"/>
      <c r="G14" s="229">
        <f t="shared" si="1"/>
        <v>0</v>
      </c>
      <c r="H14" s="184"/>
    </row>
    <row r="15" spans="1:8" s="24" customFormat="1" ht="22.2" customHeight="1">
      <c r="A15" s="182">
        <v>7</v>
      </c>
      <c r="B15" s="183" t="s">
        <v>468</v>
      </c>
      <c r="C15" s="183"/>
      <c r="D15" s="333">
        <v>60.4</v>
      </c>
      <c r="E15" s="333">
        <v>71.599999999999994</v>
      </c>
      <c r="F15" s="229">
        <v>70</v>
      </c>
      <c r="G15" s="229">
        <f t="shared" si="1"/>
        <v>-1.5999999999999943</v>
      </c>
      <c r="H15" s="184">
        <f t="shared" si="2"/>
        <v>97.765363128491629</v>
      </c>
    </row>
    <row r="16" spans="1:8" s="24" customFormat="1" ht="19.95" customHeight="1">
      <c r="A16" s="182">
        <v>8</v>
      </c>
      <c r="B16" s="183" t="s">
        <v>469</v>
      </c>
      <c r="C16" s="183"/>
      <c r="D16" s="403">
        <v>81.5</v>
      </c>
      <c r="E16" s="333">
        <v>75.5</v>
      </c>
      <c r="F16" s="229">
        <v>193</v>
      </c>
      <c r="G16" s="229">
        <f t="shared" si="1"/>
        <v>117.5</v>
      </c>
      <c r="H16" s="184">
        <f t="shared" si="2"/>
        <v>255.62913907284769</v>
      </c>
    </row>
    <row r="17" spans="1:8">
      <c r="A17" s="182">
        <v>9</v>
      </c>
      <c r="B17" s="185" t="s">
        <v>470</v>
      </c>
      <c r="C17" s="185"/>
      <c r="D17" s="334">
        <v>52.7</v>
      </c>
      <c r="E17" s="333">
        <v>80</v>
      </c>
      <c r="F17" s="229">
        <v>44</v>
      </c>
      <c r="G17" s="229">
        <f t="shared" si="1"/>
        <v>-36</v>
      </c>
      <c r="H17" s="184">
        <f t="shared" si="2"/>
        <v>55.000000000000007</v>
      </c>
    </row>
    <row r="18" spans="1:8" ht="24.75" customHeight="1">
      <c r="A18" s="182">
        <v>10</v>
      </c>
      <c r="B18" s="185" t="s">
        <v>471</v>
      </c>
      <c r="C18" s="185"/>
      <c r="D18" s="333">
        <v>106.7</v>
      </c>
      <c r="E18" s="333">
        <v>81.5</v>
      </c>
      <c r="F18" s="229">
        <v>42</v>
      </c>
      <c r="G18" s="229">
        <f t="shared" si="1"/>
        <v>-39.5</v>
      </c>
      <c r="H18" s="184">
        <f t="shared" si="2"/>
        <v>51.533742331288344</v>
      </c>
    </row>
    <row r="19" spans="1:8">
      <c r="A19" s="182">
        <v>11</v>
      </c>
      <c r="B19" s="185" t="s">
        <v>472</v>
      </c>
      <c r="C19" s="185"/>
      <c r="D19" s="334">
        <v>34.799999999999997</v>
      </c>
      <c r="E19" s="334">
        <v>40</v>
      </c>
      <c r="F19" s="303">
        <v>92</v>
      </c>
      <c r="G19" s="229">
        <f t="shared" si="1"/>
        <v>52</v>
      </c>
      <c r="H19" s="184">
        <f t="shared" si="2"/>
        <v>229.99999999999997</v>
      </c>
    </row>
    <row r="20" spans="1:8">
      <c r="A20" s="182">
        <v>12</v>
      </c>
      <c r="B20" s="183" t="s">
        <v>473</v>
      </c>
      <c r="C20" s="185"/>
      <c r="D20" s="334"/>
      <c r="E20" s="333"/>
      <c r="F20" s="229">
        <v>59</v>
      </c>
      <c r="G20" s="229">
        <f t="shared" si="1"/>
        <v>59</v>
      </c>
      <c r="H20" s="184"/>
    </row>
    <row r="21" spans="1:8" ht="36">
      <c r="A21" s="182">
        <v>13</v>
      </c>
      <c r="B21" s="183" t="s">
        <v>474</v>
      </c>
      <c r="C21" s="185"/>
      <c r="D21" s="334">
        <v>25.2</v>
      </c>
      <c r="E21" s="333"/>
      <c r="F21" s="229"/>
      <c r="G21" s="229"/>
      <c r="H21" s="184"/>
    </row>
    <row r="22" spans="1:8">
      <c r="A22" s="182"/>
      <c r="B22" s="185" t="s">
        <v>475</v>
      </c>
      <c r="C22" s="185"/>
      <c r="D22" s="334"/>
      <c r="E22" s="333"/>
      <c r="F22" s="229"/>
      <c r="G22" s="229"/>
      <c r="H22" s="184"/>
    </row>
    <row r="23" spans="1:8">
      <c r="A23" s="182">
        <v>14</v>
      </c>
      <c r="B23" s="185" t="s">
        <v>476</v>
      </c>
      <c r="C23" s="185"/>
      <c r="D23" s="334">
        <v>39.9</v>
      </c>
      <c r="E23" s="333">
        <v>42.2</v>
      </c>
      <c r="F23" s="229">
        <v>22</v>
      </c>
      <c r="G23" s="229">
        <f t="shared" si="1"/>
        <v>-20.200000000000003</v>
      </c>
      <c r="H23" s="184">
        <f t="shared" si="2"/>
        <v>52.132701421800945</v>
      </c>
    </row>
    <row r="24" spans="1:8">
      <c r="A24" s="182"/>
      <c r="B24" s="185" t="s">
        <v>477</v>
      </c>
      <c r="C24" s="185"/>
      <c r="D24" s="334"/>
      <c r="E24" s="333"/>
      <c r="F24" s="229"/>
      <c r="G24" s="229"/>
      <c r="H24" s="184"/>
    </row>
    <row r="25" spans="1:8">
      <c r="A25" s="182">
        <v>15</v>
      </c>
      <c r="B25" s="185" t="s">
        <v>478</v>
      </c>
      <c r="C25" s="185"/>
      <c r="D25" s="334">
        <v>45.6</v>
      </c>
      <c r="E25" s="333">
        <v>55</v>
      </c>
      <c r="F25" s="229">
        <v>2</v>
      </c>
      <c r="G25" s="229">
        <f t="shared" si="1"/>
        <v>-53</v>
      </c>
      <c r="H25" s="184">
        <f t="shared" si="2"/>
        <v>3.6363636363636362</v>
      </c>
    </row>
    <row r="26" spans="1:8">
      <c r="A26" s="182">
        <v>16</v>
      </c>
      <c r="B26" s="185" t="s">
        <v>479</v>
      </c>
      <c r="C26" s="185"/>
      <c r="D26" s="334">
        <v>131.5</v>
      </c>
      <c r="E26" s="333">
        <v>132</v>
      </c>
      <c r="F26" s="229">
        <v>132</v>
      </c>
      <c r="G26" s="229">
        <f t="shared" si="1"/>
        <v>0</v>
      </c>
      <c r="H26" s="184">
        <f t="shared" si="2"/>
        <v>100</v>
      </c>
    </row>
    <row r="27" spans="1:8">
      <c r="A27" s="161"/>
      <c r="B27" s="268" t="s">
        <v>480</v>
      </c>
      <c r="C27" s="267" t="s">
        <v>481</v>
      </c>
      <c r="D27" s="336">
        <f>SUM(D28:D35)</f>
        <v>1603.1</v>
      </c>
      <c r="E27" s="336">
        <f>SUM(E28:E35)</f>
        <v>1479.6</v>
      </c>
      <c r="F27" s="304">
        <f>SUM(F28:F35)</f>
        <v>1614</v>
      </c>
      <c r="G27" s="231">
        <f t="shared" si="1"/>
        <v>134.40000000000009</v>
      </c>
      <c r="H27" s="181">
        <f t="shared" si="2"/>
        <v>109.08353609083537</v>
      </c>
    </row>
    <row r="28" spans="1:8">
      <c r="A28" s="161">
        <v>1</v>
      </c>
      <c r="B28" s="186" t="s">
        <v>415</v>
      </c>
      <c r="C28" s="186"/>
      <c r="D28" s="334">
        <v>1245</v>
      </c>
      <c r="E28" s="335">
        <v>1070.2</v>
      </c>
      <c r="F28" s="229">
        <v>1315</v>
      </c>
      <c r="G28" s="229">
        <f t="shared" si="1"/>
        <v>244.79999999999995</v>
      </c>
      <c r="H28" s="184">
        <f t="shared" si="2"/>
        <v>122.87422911605307</v>
      </c>
    </row>
    <row r="29" spans="1:8">
      <c r="A29" s="182">
        <v>2</v>
      </c>
      <c r="B29" s="185" t="s">
        <v>482</v>
      </c>
      <c r="C29" s="185"/>
      <c r="D29" s="334"/>
      <c r="E29" s="335"/>
      <c r="F29" s="229"/>
      <c r="G29" s="229">
        <f t="shared" si="1"/>
        <v>0</v>
      </c>
      <c r="H29" s="184"/>
    </row>
    <row r="30" spans="1:8">
      <c r="A30" s="182"/>
      <c r="B30" s="185" t="s">
        <v>483</v>
      </c>
      <c r="C30" s="185"/>
      <c r="D30" s="334">
        <v>37.299999999999997</v>
      </c>
      <c r="E30" s="335">
        <v>49.7</v>
      </c>
      <c r="F30" s="229"/>
      <c r="G30" s="229">
        <f t="shared" si="1"/>
        <v>-49.7</v>
      </c>
      <c r="H30" s="184"/>
    </row>
    <row r="31" spans="1:8">
      <c r="A31" s="182"/>
      <c r="B31" s="185" t="s">
        <v>484</v>
      </c>
      <c r="C31" s="185"/>
      <c r="D31" s="334">
        <v>10</v>
      </c>
      <c r="E31" s="335">
        <v>11.3</v>
      </c>
      <c r="F31" s="229">
        <v>7</v>
      </c>
      <c r="G31" s="229">
        <f t="shared" si="1"/>
        <v>-4.3000000000000007</v>
      </c>
      <c r="H31" s="184">
        <f t="shared" si="2"/>
        <v>61.946902654867252</v>
      </c>
    </row>
    <row r="32" spans="1:8">
      <c r="A32" s="182"/>
      <c r="B32" s="187" t="s">
        <v>485</v>
      </c>
      <c r="C32" s="187"/>
      <c r="D32" s="334">
        <v>4.3</v>
      </c>
      <c r="E32" s="335">
        <v>4.5999999999999996</v>
      </c>
      <c r="F32" s="229">
        <v>8</v>
      </c>
      <c r="G32" s="229">
        <f t="shared" si="1"/>
        <v>3.4000000000000004</v>
      </c>
      <c r="H32" s="184">
        <f t="shared" si="2"/>
        <v>173.91304347826087</v>
      </c>
    </row>
    <row r="33" spans="1:8">
      <c r="A33" s="182"/>
      <c r="B33" s="185" t="s">
        <v>486</v>
      </c>
      <c r="C33" s="185"/>
      <c r="D33" s="334"/>
      <c r="E33" s="335">
        <v>0.2</v>
      </c>
      <c r="F33" s="229"/>
      <c r="G33" s="229">
        <f t="shared" si="1"/>
        <v>-0.2</v>
      </c>
      <c r="H33" s="184"/>
    </row>
    <row r="34" spans="1:8">
      <c r="A34" s="182">
        <v>3</v>
      </c>
      <c r="B34" s="185" t="s">
        <v>487</v>
      </c>
      <c r="C34" s="185"/>
      <c r="D34" s="334">
        <v>97.3</v>
      </c>
      <c r="E34" s="335">
        <v>98.3</v>
      </c>
      <c r="F34" s="229">
        <v>85</v>
      </c>
      <c r="G34" s="229">
        <f t="shared" si="1"/>
        <v>-13.299999999999997</v>
      </c>
      <c r="H34" s="184">
        <f t="shared" si="2"/>
        <v>86.469989827060019</v>
      </c>
    </row>
    <row r="35" spans="1:8" ht="36">
      <c r="A35" s="182">
        <v>4</v>
      </c>
      <c r="B35" s="185" t="s">
        <v>488</v>
      </c>
      <c r="C35" s="185"/>
      <c r="D35" s="334">
        <v>209.2</v>
      </c>
      <c r="E35" s="333">
        <v>245.3</v>
      </c>
      <c r="F35" s="229">
        <v>199</v>
      </c>
      <c r="G35" s="229">
        <f t="shared" si="1"/>
        <v>-46.300000000000011</v>
      </c>
      <c r="H35" s="184">
        <f t="shared" si="2"/>
        <v>81.125152874031798</v>
      </c>
    </row>
    <row r="36" spans="1:8">
      <c r="A36" s="161"/>
      <c r="B36" s="268" t="s">
        <v>489</v>
      </c>
      <c r="C36" s="267" t="s">
        <v>490</v>
      </c>
      <c r="D36" s="336">
        <f>SUM(D37:D41)</f>
        <v>19890.400000000001</v>
      </c>
      <c r="E36" s="336">
        <f t="shared" ref="E36:F36" si="3">SUM(E37:E41)</f>
        <v>29698.3</v>
      </c>
      <c r="F36" s="304">
        <f t="shared" si="3"/>
        <v>11790</v>
      </c>
      <c r="G36" s="231">
        <f t="shared" si="1"/>
        <v>-17908.3</v>
      </c>
      <c r="H36" s="181">
        <f t="shared" si="2"/>
        <v>39.699242044157415</v>
      </c>
    </row>
    <row r="37" spans="1:8">
      <c r="A37" s="182">
        <v>1</v>
      </c>
      <c r="B37" s="187" t="s">
        <v>491</v>
      </c>
      <c r="C37" s="187"/>
      <c r="D37" s="334"/>
      <c r="E37" s="229"/>
      <c r="F37" s="229"/>
      <c r="G37" s="229">
        <f t="shared" si="1"/>
        <v>0</v>
      </c>
      <c r="H37" s="184"/>
    </row>
    <row r="38" spans="1:8">
      <c r="A38" s="182">
        <v>2</v>
      </c>
      <c r="B38" s="187" t="s">
        <v>492</v>
      </c>
      <c r="C38" s="187"/>
      <c r="D38" s="334">
        <v>19890.400000000001</v>
      </c>
      <c r="E38" s="229">
        <v>29698.3</v>
      </c>
      <c r="F38" s="229">
        <v>11790</v>
      </c>
      <c r="G38" s="229">
        <f t="shared" si="1"/>
        <v>-17908.3</v>
      </c>
      <c r="H38" s="184">
        <f t="shared" si="2"/>
        <v>39.699242044157415</v>
      </c>
    </row>
    <row r="39" spans="1:8">
      <c r="A39" s="182">
        <v>3</v>
      </c>
      <c r="B39" s="188" t="s">
        <v>493</v>
      </c>
      <c r="C39" s="188"/>
      <c r="D39" s="334"/>
      <c r="E39" s="229"/>
      <c r="F39" s="229"/>
      <c r="G39" s="229">
        <f t="shared" si="1"/>
        <v>0</v>
      </c>
      <c r="H39" s="184"/>
    </row>
    <row r="40" spans="1:8">
      <c r="A40" s="182">
        <v>4</v>
      </c>
      <c r="B40" s="188" t="s">
        <v>494</v>
      </c>
      <c r="C40" s="188"/>
      <c r="D40" s="334"/>
      <c r="E40" s="229"/>
      <c r="F40" s="229"/>
      <c r="G40" s="229">
        <f t="shared" si="1"/>
        <v>0</v>
      </c>
      <c r="H40" s="184"/>
    </row>
    <row r="41" spans="1:8">
      <c r="A41" s="182">
        <v>5</v>
      </c>
      <c r="B41" s="186" t="s">
        <v>495</v>
      </c>
      <c r="C41" s="186"/>
      <c r="D41" s="303"/>
      <c r="E41" s="229"/>
      <c r="F41" s="229"/>
      <c r="G41" s="229">
        <f t="shared" si="1"/>
        <v>0</v>
      </c>
      <c r="H41" s="184"/>
    </row>
    <row r="42" spans="1:8">
      <c r="A42" s="161"/>
      <c r="B42" s="268" t="s">
        <v>496</v>
      </c>
      <c r="C42" s="267" t="s">
        <v>497</v>
      </c>
      <c r="D42" s="336">
        <f>SUM(D43:D53)</f>
        <v>6921.0000000000009</v>
      </c>
      <c r="E42" s="336">
        <f>SUM(E43:E52)</f>
        <v>8387.6</v>
      </c>
      <c r="F42" s="304">
        <f>SUM(F43:F52)</f>
        <v>8396</v>
      </c>
      <c r="G42" s="231">
        <f t="shared" si="1"/>
        <v>8.3999999999996362</v>
      </c>
      <c r="H42" s="181">
        <f t="shared" si="2"/>
        <v>100.1001478372836</v>
      </c>
    </row>
    <row r="43" spans="1:8">
      <c r="A43" s="182">
        <v>1</v>
      </c>
      <c r="B43" s="185" t="s">
        <v>498</v>
      </c>
      <c r="C43" s="185"/>
      <c r="D43" s="334">
        <v>1448.7</v>
      </c>
      <c r="E43" s="333">
        <v>1300</v>
      </c>
      <c r="F43" s="229">
        <v>646</v>
      </c>
      <c r="G43" s="229">
        <f t="shared" si="1"/>
        <v>-654</v>
      </c>
      <c r="H43" s="184">
        <f t="shared" si="2"/>
        <v>49.692307692307693</v>
      </c>
    </row>
    <row r="44" spans="1:8">
      <c r="A44" s="182">
        <v>2</v>
      </c>
      <c r="B44" s="185" t="s">
        <v>499</v>
      </c>
      <c r="C44" s="185"/>
      <c r="D44" s="334">
        <v>15.3</v>
      </c>
      <c r="E44" s="333"/>
      <c r="F44" s="229">
        <v>0</v>
      </c>
      <c r="G44" s="229">
        <f t="shared" si="1"/>
        <v>0</v>
      </c>
      <c r="H44" s="184"/>
    </row>
    <row r="45" spans="1:8">
      <c r="A45" s="182">
        <v>3</v>
      </c>
      <c r="B45" s="187" t="s">
        <v>500</v>
      </c>
      <c r="C45" s="185"/>
      <c r="D45" s="334">
        <v>182.2</v>
      </c>
      <c r="E45" s="333">
        <v>200</v>
      </c>
      <c r="F45" s="229">
        <v>80</v>
      </c>
      <c r="G45" s="229">
        <f t="shared" si="1"/>
        <v>-120</v>
      </c>
      <c r="H45" s="184">
        <f t="shared" si="2"/>
        <v>40</v>
      </c>
    </row>
    <row r="46" spans="1:8">
      <c r="A46" s="182">
        <v>4</v>
      </c>
      <c r="B46" s="185" t="s">
        <v>501</v>
      </c>
      <c r="C46" s="185"/>
      <c r="D46" s="334">
        <v>4864.1000000000004</v>
      </c>
      <c r="E46" s="333">
        <v>5994.6</v>
      </c>
      <c r="F46" s="229">
        <v>7234</v>
      </c>
      <c r="G46" s="229">
        <f t="shared" si="1"/>
        <v>1239.3999999999996</v>
      </c>
      <c r="H46" s="184">
        <f t="shared" si="2"/>
        <v>120.67527441363895</v>
      </c>
    </row>
    <row r="47" spans="1:8">
      <c r="A47" s="182">
        <v>5</v>
      </c>
      <c r="B47" s="185" t="s">
        <v>502</v>
      </c>
      <c r="C47" s="185"/>
      <c r="D47" s="334">
        <v>51.7</v>
      </c>
      <c r="E47" s="333">
        <v>60</v>
      </c>
      <c r="F47" s="229">
        <v>57</v>
      </c>
      <c r="G47" s="229">
        <f t="shared" si="1"/>
        <v>-3</v>
      </c>
      <c r="H47" s="184">
        <f t="shared" si="2"/>
        <v>95</v>
      </c>
    </row>
    <row r="48" spans="1:8">
      <c r="A48" s="182">
        <v>6</v>
      </c>
      <c r="B48" s="185" t="s">
        <v>503</v>
      </c>
      <c r="C48" s="185"/>
      <c r="D48" s="334">
        <v>58.2</v>
      </c>
      <c r="E48" s="333">
        <v>400</v>
      </c>
      <c r="F48" s="229">
        <v>195</v>
      </c>
      <c r="G48" s="229">
        <f t="shared" si="1"/>
        <v>-205</v>
      </c>
      <c r="H48" s="184">
        <f t="shared" si="2"/>
        <v>48.75</v>
      </c>
    </row>
    <row r="49" spans="1:8" ht="36">
      <c r="A49" s="182">
        <v>7</v>
      </c>
      <c r="B49" s="185" t="s">
        <v>504</v>
      </c>
      <c r="C49" s="185"/>
      <c r="D49" s="334">
        <v>182</v>
      </c>
      <c r="E49" s="333">
        <v>345</v>
      </c>
      <c r="F49" s="229"/>
      <c r="G49" s="229">
        <f>F49-E49</f>
        <v>-345</v>
      </c>
      <c r="H49" s="184">
        <f t="shared" si="2"/>
        <v>0</v>
      </c>
    </row>
    <row r="50" spans="1:8">
      <c r="A50" s="182">
        <v>8</v>
      </c>
      <c r="B50" s="185" t="s">
        <v>505</v>
      </c>
      <c r="C50" s="185"/>
      <c r="D50" s="334">
        <v>92.1</v>
      </c>
      <c r="E50" s="333">
        <v>80</v>
      </c>
      <c r="F50" s="229">
        <v>157</v>
      </c>
      <c r="G50" s="229">
        <f t="shared" si="1"/>
        <v>77</v>
      </c>
      <c r="H50" s="184">
        <f t="shared" si="2"/>
        <v>196.25</v>
      </c>
    </row>
    <row r="51" spans="1:8">
      <c r="A51" s="182">
        <v>9</v>
      </c>
      <c r="B51" s="185" t="s">
        <v>506</v>
      </c>
      <c r="C51" s="185"/>
      <c r="D51" s="334">
        <v>5.6</v>
      </c>
      <c r="E51" s="333">
        <v>8</v>
      </c>
      <c r="F51" s="229">
        <v>9</v>
      </c>
      <c r="G51" s="229">
        <f t="shared" si="1"/>
        <v>1</v>
      </c>
      <c r="H51" s="184">
        <f t="shared" si="2"/>
        <v>112.5</v>
      </c>
    </row>
    <row r="52" spans="1:8">
      <c r="A52" s="182">
        <v>10</v>
      </c>
      <c r="B52" s="185" t="s">
        <v>507</v>
      </c>
      <c r="C52" s="185"/>
      <c r="D52" s="334"/>
      <c r="E52" s="333"/>
      <c r="F52" s="229">
        <v>18</v>
      </c>
      <c r="G52" s="229">
        <f t="shared" si="1"/>
        <v>18</v>
      </c>
      <c r="H52" s="184"/>
    </row>
    <row r="53" spans="1:8">
      <c r="A53" s="182">
        <v>11</v>
      </c>
      <c r="B53" s="185" t="s">
        <v>508</v>
      </c>
      <c r="C53" s="185"/>
      <c r="D53" s="334">
        <v>21.1</v>
      </c>
      <c r="E53" s="333"/>
      <c r="F53" s="229"/>
      <c r="G53" s="229"/>
      <c r="H53" s="184"/>
    </row>
    <row r="54" spans="1:8">
      <c r="A54" s="161"/>
      <c r="B54" s="268" t="s">
        <v>509</v>
      </c>
      <c r="C54" s="267" t="s">
        <v>510</v>
      </c>
      <c r="D54" s="336">
        <f>SUM(D55:D60)</f>
        <v>3988</v>
      </c>
      <c r="E54" s="336">
        <f>E55+E58</f>
        <v>6895.5</v>
      </c>
      <c r="F54" s="304">
        <f>SUM(F55:F60)</f>
        <v>7110</v>
      </c>
      <c r="G54" s="231">
        <f t="shared" si="1"/>
        <v>214.5</v>
      </c>
      <c r="H54" s="181">
        <f t="shared" si="2"/>
        <v>103.11072438546877</v>
      </c>
    </row>
    <row r="55" spans="1:8">
      <c r="A55" s="102">
        <v>1</v>
      </c>
      <c r="B55" s="186" t="s">
        <v>511</v>
      </c>
      <c r="C55" s="188"/>
      <c r="D55" s="334"/>
      <c r="E55" s="404">
        <v>2989.3</v>
      </c>
      <c r="F55" s="229"/>
      <c r="G55" s="229">
        <f t="shared" si="1"/>
        <v>-2989.3</v>
      </c>
      <c r="H55" s="184"/>
    </row>
    <row r="56" spans="1:8">
      <c r="A56" s="102" t="s">
        <v>417</v>
      </c>
      <c r="B56" s="186" t="s">
        <v>512</v>
      </c>
      <c r="C56" s="188"/>
      <c r="D56" s="334">
        <v>698.9</v>
      </c>
      <c r="E56" s="404">
        <v>412.6</v>
      </c>
      <c r="F56" s="229">
        <v>435</v>
      </c>
      <c r="G56" s="229">
        <f t="shared" si="1"/>
        <v>22.399999999999977</v>
      </c>
      <c r="H56" s="184">
        <f t="shared" si="2"/>
        <v>105.42898691226368</v>
      </c>
    </row>
    <row r="57" spans="1:8">
      <c r="A57" s="102" t="s">
        <v>417</v>
      </c>
      <c r="B57" s="186" t="s">
        <v>513</v>
      </c>
      <c r="C57" s="188"/>
      <c r="D57" s="334">
        <v>1613.5</v>
      </c>
      <c r="E57" s="404">
        <v>2576.6999999999998</v>
      </c>
      <c r="F57" s="229">
        <v>2576</v>
      </c>
      <c r="G57" s="229">
        <f t="shared" si="1"/>
        <v>-0.6999999999998181</v>
      </c>
      <c r="H57" s="184">
        <f t="shared" si="2"/>
        <v>99.972833469165991</v>
      </c>
    </row>
    <row r="58" spans="1:8">
      <c r="A58" s="102">
        <v>2</v>
      </c>
      <c r="B58" s="186" t="s">
        <v>514</v>
      </c>
      <c r="C58" s="188"/>
      <c r="D58" s="334"/>
      <c r="E58" s="404">
        <v>3906.2</v>
      </c>
      <c r="F58" s="229"/>
      <c r="G58" s="229">
        <f t="shared" si="1"/>
        <v>-3906.2</v>
      </c>
      <c r="H58" s="184"/>
    </row>
    <row r="59" spans="1:8">
      <c r="A59" s="102" t="s">
        <v>417</v>
      </c>
      <c r="B59" s="186" t="s">
        <v>515</v>
      </c>
      <c r="C59" s="188"/>
      <c r="D59" s="334">
        <v>390.1</v>
      </c>
      <c r="E59" s="405">
        <v>241.4</v>
      </c>
      <c r="F59" s="229"/>
      <c r="G59" s="229">
        <f t="shared" si="1"/>
        <v>-241.4</v>
      </c>
      <c r="H59" s="184">
        <f t="shared" si="2"/>
        <v>0</v>
      </c>
    </row>
    <row r="60" spans="1:8">
      <c r="A60" s="102" t="s">
        <v>417</v>
      </c>
      <c r="B60" s="186" t="s">
        <v>516</v>
      </c>
      <c r="C60" s="188"/>
      <c r="D60" s="334">
        <v>1285.5</v>
      </c>
      <c r="E60" s="405">
        <v>3664.8</v>
      </c>
      <c r="F60" s="229">
        <v>4099</v>
      </c>
      <c r="G60" s="229">
        <f t="shared" si="1"/>
        <v>434.19999999999982</v>
      </c>
      <c r="H60" s="184">
        <f t="shared" si="2"/>
        <v>111.847849814451</v>
      </c>
    </row>
    <row r="61" spans="1:8">
      <c r="A61" s="161"/>
      <c r="B61" s="268" t="s">
        <v>517</v>
      </c>
      <c r="C61" s="267" t="s">
        <v>518</v>
      </c>
      <c r="D61" s="336">
        <f>SUM(D62:D66)</f>
        <v>24</v>
      </c>
      <c r="E61" s="304">
        <f t="shared" ref="E61" si="4">SUM(E62:E66)</f>
        <v>30</v>
      </c>
      <c r="F61" s="304">
        <f>SUM(F62:F66)</f>
        <v>4260</v>
      </c>
      <c r="G61" s="231">
        <f>F61-E61</f>
        <v>4230</v>
      </c>
      <c r="H61" s="181">
        <f t="shared" si="2"/>
        <v>14200</v>
      </c>
    </row>
    <row r="62" spans="1:8">
      <c r="A62" s="182">
        <v>1</v>
      </c>
      <c r="B62" s="185" t="s">
        <v>519</v>
      </c>
      <c r="C62" s="185"/>
      <c r="D62" s="334">
        <v>3.2</v>
      </c>
      <c r="E62" s="229">
        <v>10</v>
      </c>
      <c r="F62" s="305">
        <v>1</v>
      </c>
      <c r="G62" s="229">
        <f t="shared" si="1"/>
        <v>-9</v>
      </c>
      <c r="H62" s="184">
        <f t="shared" si="2"/>
        <v>10</v>
      </c>
    </row>
    <row r="63" spans="1:8">
      <c r="A63" s="182">
        <v>2</v>
      </c>
      <c r="B63" s="185" t="s">
        <v>520</v>
      </c>
      <c r="C63" s="185"/>
      <c r="D63" s="334"/>
      <c r="E63" s="229">
        <v>20</v>
      </c>
      <c r="F63" s="305"/>
      <c r="G63" s="229">
        <f t="shared" si="1"/>
        <v>-20</v>
      </c>
      <c r="H63" s="184">
        <f t="shared" si="2"/>
        <v>0</v>
      </c>
    </row>
    <row r="64" spans="1:8">
      <c r="A64" s="182">
        <v>3</v>
      </c>
      <c r="B64" s="185" t="s">
        <v>521</v>
      </c>
      <c r="C64" s="185"/>
      <c r="D64" s="334">
        <v>16.399999999999999</v>
      </c>
      <c r="E64" s="229"/>
      <c r="F64" s="305">
        <v>0</v>
      </c>
      <c r="G64" s="229">
        <f t="shared" si="1"/>
        <v>0</v>
      </c>
      <c r="H64" s="184"/>
    </row>
    <row r="65" spans="1:11">
      <c r="A65" s="182">
        <v>4</v>
      </c>
      <c r="B65" s="185" t="s">
        <v>522</v>
      </c>
      <c r="C65" s="185"/>
      <c r="D65" s="303"/>
      <c r="E65" s="229"/>
      <c r="F65" s="229">
        <v>4259</v>
      </c>
      <c r="G65" s="229">
        <f t="shared" si="1"/>
        <v>4259</v>
      </c>
      <c r="H65" s="184"/>
    </row>
    <row r="66" spans="1:11" ht="72">
      <c r="A66" s="182">
        <v>5</v>
      </c>
      <c r="B66" s="189" t="s">
        <v>523</v>
      </c>
      <c r="C66" s="185"/>
      <c r="D66" s="303">
        <v>4.4000000000000004</v>
      </c>
      <c r="E66" s="229"/>
      <c r="F66" s="229"/>
      <c r="G66" s="229"/>
      <c r="H66" s="184"/>
    </row>
    <row r="67" spans="1:11" ht="18" customHeight="1">
      <c r="A67" s="486" t="s">
        <v>524</v>
      </c>
      <c r="B67" s="487"/>
      <c r="C67" s="487"/>
      <c r="D67" s="487"/>
      <c r="E67" s="487"/>
      <c r="F67" s="487"/>
      <c r="G67" s="487"/>
      <c r="H67" s="488"/>
      <c r="I67" s="190"/>
      <c r="J67" s="190"/>
      <c r="K67" s="190"/>
    </row>
    <row r="68" spans="1:11">
      <c r="A68" s="161"/>
      <c r="B68" s="268" t="s">
        <v>525</v>
      </c>
      <c r="C68" s="267" t="s">
        <v>526</v>
      </c>
      <c r="D68" s="336">
        <f>SUM(D69:D84)</f>
        <v>430278</v>
      </c>
      <c r="E68" s="336">
        <f>SUM(E69:E84)</f>
        <v>774487.6</v>
      </c>
      <c r="F68" s="304">
        <f>SUM(F69:F84)</f>
        <v>575539</v>
      </c>
      <c r="G68" s="231">
        <f t="shared" si="1"/>
        <v>-198948.59999999998</v>
      </c>
      <c r="H68" s="181">
        <f t="shared" si="2"/>
        <v>74.312229143500815</v>
      </c>
    </row>
    <row r="69" spans="1:11" ht="36">
      <c r="A69" s="182">
        <v>1</v>
      </c>
      <c r="B69" s="186" t="s">
        <v>527</v>
      </c>
      <c r="C69" s="186"/>
      <c r="D69" s="334">
        <v>3758</v>
      </c>
      <c r="E69" s="333">
        <v>1885.9</v>
      </c>
      <c r="F69" s="229">
        <v>2706</v>
      </c>
      <c r="G69" s="229">
        <f t="shared" si="1"/>
        <v>820.09999999999991</v>
      </c>
      <c r="H69" s="184">
        <f t="shared" si="2"/>
        <v>143.48586881594994</v>
      </c>
    </row>
    <row r="70" spans="1:11">
      <c r="A70" s="182">
        <v>2</v>
      </c>
      <c r="B70" s="183" t="s">
        <v>528</v>
      </c>
      <c r="C70" s="183"/>
      <c r="D70" s="334">
        <v>565.70000000000005</v>
      </c>
      <c r="E70" s="333">
        <v>550</v>
      </c>
      <c r="F70" s="229">
        <v>447</v>
      </c>
      <c r="G70" s="229">
        <f t="shared" si="1"/>
        <v>-103</v>
      </c>
      <c r="H70" s="184">
        <f t="shared" si="2"/>
        <v>81.27272727272728</v>
      </c>
    </row>
    <row r="71" spans="1:11" ht="54">
      <c r="A71" s="182">
        <v>3</v>
      </c>
      <c r="B71" s="191" t="s">
        <v>529</v>
      </c>
      <c r="C71" s="183"/>
      <c r="D71" s="334"/>
      <c r="E71" s="334">
        <v>164218.6</v>
      </c>
      <c r="F71" s="229"/>
      <c r="G71" s="229">
        <f t="shared" si="1"/>
        <v>-164218.6</v>
      </c>
      <c r="H71" s="184">
        <f t="shared" si="2"/>
        <v>0</v>
      </c>
    </row>
    <row r="72" spans="1:11" ht="75.599999999999994" customHeight="1">
      <c r="A72" s="182">
        <v>4</v>
      </c>
      <c r="B72" s="191" t="s">
        <v>530</v>
      </c>
      <c r="C72" s="183"/>
      <c r="D72" s="334"/>
      <c r="E72" s="334">
        <v>35446.800000000003</v>
      </c>
      <c r="F72" s="229"/>
      <c r="G72" s="229">
        <f t="shared" ref="G72:G101" si="5">F72-E72</f>
        <v>-35446.800000000003</v>
      </c>
      <c r="H72" s="184">
        <f t="shared" ref="H72:H96" si="6">(F72/E72)*100</f>
        <v>0</v>
      </c>
    </row>
    <row r="73" spans="1:11">
      <c r="A73" s="182">
        <v>5</v>
      </c>
      <c r="B73" s="183" t="s">
        <v>531</v>
      </c>
      <c r="C73" s="183"/>
      <c r="D73" s="334"/>
      <c r="E73" s="334"/>
      <c r="F73" s="303"/>
      <c r="G73" s="229"/>
      <c r="H73" s="184"/>
    </row>
    <row r="74" spans="1:11">
      <c r="A74" s="192" t="s">
        <v>532</v>
      </c>
      <c r="B74" s="183" t="s">
        <v>533</v>
      </c>
      <c r="C74" s="183"/>
      <c r="D74" s="334">
        <v>2789.2</v>
      </c>
      <c r="E74" s="334">
        <v>2531.5</v>
      </c>
      <c r="F74" s="303">
        <v>2531</v>
      </c>
      <c r="G74" s="229">
        <f t="shared" ref="G74:G84" si="7">F74-E74</f>
        <v>-0.5</v>
      </c>
      <c r="H74" s="184">
        <f t="shared" ref="H74:H81" si="8">(F74/E74)*100</f>
        <v>99.980248864309701</v>
      </c>
    </row>
    <row r="75" spans="1:11">
      <c r="A75" s="192" t="s">
        <v>534</v>
      </c>
      <c r="B75" s="183" t="s">
        <v>535</v>
      </c>
      <c r="C75" s="183"/>
      <c r="D75" s="334">
        <v>667.1</v>
      </c>
      <c r="E75" s="334">
        <v>606.1</v>
      </c>
      <c r="F75" s="303">
        <v>606</v>
      </c>
      <c r="G75" s="229">
        <f t="shared" si="7"/>
        <v>-0.10000000000002274</v>
      </c>
      <c r="H75" s="184">
        <f t="shared" si="8"/>
        <v>99.983501072430286</v>
      </c>
    </row>
    <row r="76" spans="1:11" ht="36">
      <c r="A76" s="192" t="s">
        <v>536</v>
      </c>
      <c r="B76" s="183" t="s">
        <v>537</v>
      </c>
      <c r="C76" s="183"/>
      <c r="D76" s="334">
        <v>220.2</v>
      </c>
      <c r="E76" s="334">
        <v>242.4</v>
      </c>
      <c r="F76" s="303">
        <v>242</v>
      </c>
      <c r="G76" s="229">
        <f t="shared" si="7"/>
        <v>-0.40000000000000568</v>
      </c>
      <c r="H76" s="184">
        <f t="shared" si="8"/>
        <v>99.834983498349828</v>
      </c>
    </row>
    <row r="77" spans="1:11" ht="54">
      <c r="A77" s="192" t="s">
        <v>538</v>
      </c>
      <c r="B77" s="186" t="s">
        <v>539</v>
      </c>
      <c r="C77" s="183"/>
      <c r="D77" s="334">
        <v>268803.09999999998</v>
      </c>
      <c r="E77" s="334">
        <v>355063.8</v>
      </c>
      <c r="F77" s="303">
        <v>355064</v>
      </c>
      <c r="G77" s="229">
        <f t="shared" si="7"/>
        <v>0.20000000001164153</v>
      </c>
      <c r="H77" s="184">
        <f t="shared" si="8"/>
        <v>100.00005632790501</v>
      </c>
    </row>
    <row r="78" spans="1:11" ht="72">
      <c r="A78" s="192" t="s">
        <v>540</v>
      </c>
      <c r="B78" s="183" t="s">
        <v>541</v>
      </c>
      <c r="C78" s="183"/>
      <c r="D78" s="334">
        <v>24153.3</v>
      </c>
      <c r="E78" s="334">
        <v>0</v>
      </c>
      <c r="F78" s="303"/>
      <c r="G78" s="229">
        <f t="shared" si="7"/>
        <v>0</v>
      </c>
      <c r="H78" s="184"/>
    </row>
    <row r="79" spans="1:11" ht="63" customHeight="1">
      <c r="A79" s="192" t="s">
        <v>540</v>
      </c>
      <c r="B79" s="186" t="s">
        <v>542</v>
      </c>
      <c r="C79" s="161"/>
      <c r="D79" s="334">
        <v>48306.5</v>
      </c>
      <c r="E79" s="334">
        <v>77417.899999999994</v>
      </c>
      <c r="F79" s="303">
        <v>77418</v>
      </c>
      <c r="G79" s="229">
        <f t="shared" si="7"/>
        <v>0.10000000000582077</v>
      </c>
      <c r="H79" s="184">
        <f t="shared" si="8"/>
        <v>100.00012916909398</v>
      </c>
    </row>
    <row r="80" spans="1:11" ht="72">
      <c r="A80" s="192" t="s">
        <v>543</v>
      </c>
      <c r="B80" s="193" t="s">
        <v>544</v>
      </c>
      <c r="C80" s="183"/>
      <c r="D80" s="334">
        <v>61923.9</v>
      </c>
      <c r="E80" s="334">
        <v>97077.5</v>
      </c>
      <c r="F80" s="303">
        <v>97078</v>
      </c>
      <c r="G80" s="229">
        <f t="shared" si="7"/>
        <v>0.5</v>
      </c>
      <c r="H80" s="184">
        <f t="shared" si="8"/>
        <v>100.0005150524066</v>
      </c>
    </row>
    <row r="81" spans="1:8" ht="72">
      <c r="A81" s="192" t="s">
        <v>545</v>
      </c>
      <c r="B81" s="193" t="s">
        <v>546</v>
      </c>
      <c r="C81" s="183"/>
      <c r="D81" s="334">
        <v>19091</v>
      </c>
      <c r="E81" s="334">
        <v>39447.1</v>
      </c>
      <c r="F81" s="303">
        <v>39447</v>
      </c>
      <c r="G81" s="229">
        <f t="shared" si="7"/>
        <v>-9.9999999998544808E-2</v>
      </c>
      <c r="H81" s="184">
        <f t="shared" si="8"/>
        <v>99.99974649594013</v>
      </c>
    </row>
    <row r="82" spans="1:8" ht="23.4" customHeight="1">
      <c r="A82" s="192" t="s">
        <v>547</v>
      </c>
      <c r="B82" s="193" t="s">
        <v>548</v>
      </c>
      <c r="C82" s="183"/>
      <c r="D82" s="303"/>
      <c r="E82" s="334"/>
      <c r="F82" s="303"/>
      <c r="G82" s="229">
        <f t="shared" si="7"/>
        <v>0</v>
      </c>
      <c r="H82" s="184"/>
    </row>
    <row r="83" spans="1:8">
      <c r="A83" s="182">
        <v>8</v>
      </c>
      <c r="B83" s="183" t="s">
        <v>549</v>
      </c>
      <c r="C83" s="183"/>
      <c r="D83" s="303"/>
      <c r="E83" s="334"/>
      <c r="F83" s="303"/>
      <c r="G83" s="229">
        <f t="shared" si="7"/>
        <v>0</v>
      </c>
      <c r="H83" s="184"/>
    </row>
    <row r="84" spans="1:8" ht="36">
      <c r="A84" s="182">
        <v>9</v>
      </c>
      <c r="B84" s="183" t="s">
        <v>550</v>
      </c>
      <c r="C84" s="183"/>
      <c r="D84" s="303"/>
      <c r="E84" s="334"/>
      <c r="F84" s="303"/>
      <c r="G84" s="229">
        <f t="shared" si="7"/>
        <v>0</v>
      </c>
      <c r="H84" s="184"/>
    </row>
    <row r="85" spans="1:8">
      <c r="A85" s="161"/>
      <c r="B85" s="268" t="s">
        <v>551</v>
      </c>
      <c r="C85" s="267" t="s">
        <v>552</v>
      </c>
      <c r="D85" s="336">
        <f>D86</f>
        <v>192</v>
      </c>
      <c r="E85" s="336">
        <f t="shared" ref="E85:F85" si="9">E86</f>
        <v>155</v>
      </c>
      <c r="F85" s="304">
        <f t="shared" si="9"/>
        <v>2585</v>
      </c>
      <c r="G85" s="231">
        <f t="shared" si="5"/>
        <v>2430</v>
      </c>
      <c r="H85" s="181">
        <f t="shared" si="6"/>
        <v>1667.7419354838707</v>
      </c>
    </row>
    <row r="86" spans="1:8" ht="36">
      <c r="A86" s="182">
        <v>1</v>
      </c>
      <c r="B86" s="186" t="s">
        <v>553</v>
      </c>
      <c r="C86" s="102"/>
      <c r="D86" s="334">
        <v>192</v>
      </c>
      <c r="E86" s="334">
        <v>155</v>
      </c>
      <c r="F86" s="303">
        <v>2585</v>
      </c>
      <c r="G86" s="229">
        <f t="shared" si="5"/>
        <v>2430</v>
      </c>
      <c r="H86" s="184">
        <f t="shared" si="6"/>
        <v>1667.7419354838707</v>
      </c>
    </row>
    <row r="87" spans="1:8">
      <c r="A87" s="161"/>
      <c r="B87" s="268" t="s">
        <v>554</v>
      </c>
      <c r="C87" s="267" t="s">
        <v>555</v>
      </c>
      <c r="D87" s="336">
        <f>SUM(D88:D101)</f>
        <v>6237</v>
      </c>
      <c r="E87" s="336">
        <f t="shared" ref="E87" si="10">SUM(E88:E101)</f>
        <v>5517.9</v>
      </c>
      <c r="F87" s="304">
        <f>SUM(F88:F101)</f>
        <v>5717</v>
      </c>
      <c r="G87" s="231">
        <f t="shared" si="5"/>
        <v>199.10000000000036</v>
      </c>
      <c r="H87" s="181">
        <f t="shared" si="6"/>
        <v>103.60825676434877</v>
      </c>
    </row>
    <row r="88" spans="1:8">
      <c r="A88" s="182">
        <v>1</v>
      </c>
      <c r="B88" s="183" t="s">
        <v>556</v>
      </c>
      <c r="C88" s="183"/>
      <c r="D88" s="334">
        <v>1054.8</v>
      </c>
      <c r="E88" s="334">
        <v>400</v>
      </c>
      <c r="F88" s="303">
        <v>616</v>
      </c>
      <c r="G88" s="229">
        <f t="shared" si="5"/>
        <v>216</v>
      </c>
      <c r="H88" s="184">
        <f>(F88/E88)*100</f>
        <v>154</v>
      </c>
    </row>
    <row r="89" spans="1:8" ht="36">
      <c r="A89" s="182">
        <v>2</v>
      </c>
      <c r="B89" s="183" t="s">
        <v>557</v>
      </c>
      <c r="C89" s="183"/>
      <c r="D89" s="334">
        <v>4659.8</v>
      </c>
      <c r="E89" s="334">
        <v>4667.5</v>
      </c>
      <c r="F89" s="303">
        <v>4470</v>
      </c>
      <c r="G89" s="229">
        <f t="shared" si="5"/>
        <v>-197.5</v>
      </c>
      <c r="H89" s="184">
        <f t="shared" si="6"/>
        <v>95.768612747723623</v>
      </c>
    </row>
    <row r="90" spans="1:8" ht="36">
      <c r="A90" s="182">
        <v>3</v>
      </c>
      <c r="B90" s="183" t="s">
        <v>558</v>
      </c>
      <c r="C90" s="183"/>
      <c r="D90" s="334"/>
      <c r="E90" s="334"/>
      <c r="F90" s="303">
        <v>199</v>
      </c>
      <c r="G90" s="229">
        <f t="shared" si="5"/>
        <v>199</v>
      </c>
      <c r="H90" s="184"/>
    </row>
    <row r="91" spans="1:8">
      <c r="A91" s="182">
        <v>4</v>
      </c>
      <c r="B91" s="183" t="s">
        <v>559</v>
      </c>
      <c r="C91" s="183"/>
      <c r="D91" s="334"/>
      <c r="E91" s="334"/>
      <c r="F91" s="303"/>
      <c r="G91" s="229"/>
      <c r="H91" s="184"/>
    </row>
    <row r="92" spans="1:8">
      <c r="A92" s="182"/>
      <c r="B92" s="183" t="s">
        <v>560</v>
      </c>
      <c r="C92" s="183"/>
      <c r="D92" s="334"/>
      <c r="E92" s="334">
        <v>26</v>
      </c>
      <c r="F92" s="303"/>
      <c r="G92" s="229">
        <f t="shared" si="5"/>
        <v>-26</v>
      </c>
      <c r="H92" s="184">
        <f t="shared" si="6"/>
        <v>0</v>
      </c>
    </row>
    <row r="93" spans="1:8" ht="19.2" customHeight="1">
      <c r="A93" s="182"/>
      <c r="B93" s="183" t="s">
        <v>561</v>
      </c>
      <c r="C93" s="183"/>
      <c r="D93" s="334">
        <v>13.2</v>
      </c>
      <c r="E93" s="334">
        <v>20</v>
      </c>
      <c r="F93" s="303">
        <v>196</v>
      </c>
      <c r="G93" s="229">
        <f t="shared" si="5"/>
        <v>176</v>
      </c>
      <c r="H93" s="184">
        <f t="shared" si="6"/>
        <v>980.00000000000011</v>
      </c>
    </row>
    <row r="94" spans="1:8" ht="57.6" customHeight="1">
      <c r="A94" s="182"/>
      <c r="B94" s="183" t="s">
        <v>562</v>
      </c>
      <c r="C94" s="183"/>
      <c r="D94" s="334">
        <v>11.5</v>
      </c>
      <c r="E94" s="334"/>
      <c r="F94" s="303"/>
      <c r="G94" s="229">
        <f t="shared" si="5"/>
        <v>0</v>
      </c>
      <c r="H94" s="184"/>
    </row>
    <row r="95" spans="1:8">
      <c r="A95" s="182"/>
      <c r="B95" s="183" t="s">
        <v>563</v>
      </c>
      <c r="C95" s="183"/>
      <c r="D95" s="334">
        <v>3.5</v>
      </c>
      <c r="E95" s="334">
        <v>4.4000000000000004</v>
      </c>
      <c r="F95" s="303">
        <v>1</v>
      </c>
      <c r="G95" s="229">
        <f t="shared" si="5"/>
        <v>-3.4000000000000004</v>
      </c>
      <c r="H95" s="184">
        <f t="shared" si="6"/>
        <v>22.727272727272727</v>
      </c>
    </row>
    <row r="96" spans="1:8">
      <c r="A96" s="182"/>
      <c r="B96" s="183" t="s">
        <v>564</v>
      </c>
      <c r="C96" s="183"/>
      <c r="D96" s="334">
        <v>389.2</v>
      </c>
      <c r="E96" s="334">
        <v>400</v>
      </c>
      <c r="F96" s="303">
        <v>154</v>
      </c>
      <c r="G96" s="229">
        <f t="shared" si="5"/>
        <v>-246</v>
      </c>
      <c r="H96" s="184">
        <f t="shared" si="6"/>
        <v>38.5</v>
      </c>
    </row>
    <row r="97" spans="1:9">
      <c r="A97" s="182"/>
      <c r="B97" s="183" t="s">
        <v>685</v>
      </c>
      <c r="C97" s="183"/>
      <c r="D97" s="334">
        <v>5</v>
      </c>
      <c r="E97" s="334"/>
      <c r="F97" s="303"/>
      <c r="G97" s="229"/>
      <c r="H97" s="184"/>
    </row>
    <row r="98" spans="1:9" s="158" customFormat="1" ht="32.4" customHeight="1">
      <c r="A98" s="161"/>
      <c r="B98" s="186" t="s">
        <v>565</v>
      </c>
      <c r="C98" s="186"/>
      <c r="D98" s="337"/>
      <c r="E98" s="337"/>
      <c r="F98" s="306">
        <v>48</v>
      </c>
      <c r="G98" s="229">
        <f t="shared" si="5"/>
        <v>48</v>
      </c>
      <c r="H98" s="184"/>
    </row>
    <row r="99" spans="1:9" s="158" customFormat="1">
      <c r="A99" s="161"/>
      <c r="B99" s="186" t="s">
        <v>566</v>
      </c>
      <c r="C99" s="186"/>
      <c r="D99" s="406"/>
      <c r="E99" s="296"/>
      <c r="F99" s="307">
        <v>1</v>
      </c>
      <c r="G99" s="229">
        <f t="shared" si="5"/>
        <v>1</v>
      </c>
      <c r="H99" s="184"/>
    </row>
    <row r="100" spans="1:9">
      <c r="A100" s="161"/>
      <c r="B100" s="186" t="s">
        <v>567</v>
      </c>
      <c r="C100" s="186"/>
      <c r="D100" s="334"/>
      <c r="E100" s="303"/>
      <c r="F100" s="303">
        <v>26</v>
      </c>
      <c r="G100" s="229">
        <f t="shared" si="5"/>
        <v>26</v>
      </c>
      <c r="H100" s="184"/>
    </row>
    <row r="101" spans="1:9">
      <c r="A101" s="161"/>
      <c r="B101" s="186" t="s">
        <v>568</v>
      </c>
      <c r="C101" s="186"/>
      <c r="D101" s="334">
        <v>100</v>
      </c>
      <c r="E101" s="303"/>
      <c r="F101" s="303">
        <v>6</v>
      </c>
      <c r="G101" s="229">
        <f t="shared" si="5"/>
        <v>6</v>
      </c>
      <c r="H101" s="184"/>
    </row>
    <row r="102" spans="1:9" hidden="1">
      <c r="B102" s="123"/>
      <c r="H102" s="22"/>
    </row>
    <row r="103" spans="1:9" ht="70.8" customHeight="1">
      <c r="B103" s="123"/>
      <c r="H103" s="22"/>
    </row>
    <row r="104" spans="1:9" s="60" customFormat="1" ht="31.2" customHeight="1">
      <c r="A104" s="465" t="s">
        <v>569</v>
      </c>
      <c r="B104" s="465"/>
      <c r="C104" s="262"/>
      <c r="D104" s="466" t="s">
        <v>80</v>
      </c>
      <c r="E104" s="466"/>
      <c r="F104" s="195"/>
      <c r="G104" s="63" t="s">
        <v>570</v>
      </c>
      <c r="H104" s="196"/>
      <c r="I104" s="63"/>
    </row>
    <row r="105" spans="1:9">
      <c r="B105" s="123"/>
    </row>
    <row r="106" spans="1:9">
      <c r="B106" s="123"/>
    </row>
    <row r="107" spans="1:9">
      <c r="B107" s="123"/>
    </row>
    <row r="108" spans="1:9">
      <c r="B108" s="123"/>
    </row>
    <row r="109" spans="1:9">
      <c r="B109" s="123"/>
    </row>
    <row r="110" spans="1:9">
      <c r="B110" s="123"/>
    </row>
    <row r="111" spans="1:9">
      <c r="B111" s="123"/>
    </row>
    <row r="112" spans="1:9">
      <c r="B112" s="123"/>
    </row>
    <row r="113" spans="2:2">
      <c r="B113" s="123"/>
    </row>
    <row r="114" spans="2:2">
      <c r="B114" s="123"/>
    </row>
    <row r="115" spans="2:2">
      <c r="B115" s="123"/>
    </row>
    <row r="116" spans="2:2">
      <c r="B116" s="123"/>
    </row>
    <row r="117" spans="2:2">
      <c r="B117" s="123"/>
    </row>
    <row r="118" spans="2:2">
      <c r="B118" s="123"/>
    </row>
    <row r="119" spans="2:2">
      <c r="B119" s="123"/>
    </row>
    <row r="120" spans="2:2">
      <c r="B120" s="123"/>
    </row>
    <row r="121" spans="2:2">
      <c r="B121" s="123"/>
    </row>
    <row r="122" spans="2:2">
      <c r="B122" s="123"/>
    </row>
    <row r="123" spans="2:2">
      <c r="B123" s="123"/>
    </row>
    <row r="124" spans="2:2">
      <c r="B124" s="123"/>
    </row>
    <row r="125" spans="2:2">
      <c r="B125" s="123"/>
    </row>
    <row r="126" spans="2:2">
      <c r="B126" s="123"/>
    </row>
    <row r="127" spans="2:2">
      <c r="B127" s="123"/>
    </row>
    <row r="128" spans="2:2">
      <c r="B128" s="123"/>
    </row>
    <row r="129" spans="2:2">
      <c r="B129" s="123"/>
    </row>
    <row r="130" spans="2:2">
      <c r="B130" s="123"/>
    </row>
    <row r="131" spans="2:2">
      <c r="B131" s="123"/>
    </row>
    <row r="132" spans="2:2">
      <c r="B132" s="123"/>
    </row>
    <row r="133" spans="2:2">
      <c r="B133" s="123"/>
    </row>
    <row r="134" spans="2:2">
      <c r="B134" s="123"/>
    </row>
    <row r="135" spans="2:2">
      <c r="B135" s="123"/>
    </row>
    <row r="136" spans="2:2">
      <c r="B136" s="123"/>
    </row>
    <row r="137" spans="2:2">
      <c r="B137" s="123"/>
    </row>
    <row r="138" spans="2:2">
      <c r="B138" s="123"/>
    </row>
    <row r="139" spans="2:2">
      <c r="B139" s="123"/>
    </row>
    <row r="140" spans="2:2">
      <c r="B140" s="123"/>
    </row>
    <row r="141" spans="2:2">
      <c r="B141" s="123"/>
    </row>
    <row r="142" spans="2:2">
      <c r="B142" s="123"/>
    </row>
    <row r="143" spans="2:2">
      <c r="B143" s="123"/>
    </row>
    <row r="144" spans="2:2">
      <c r="B144" s="123"/>
    </row>
    <row r="145" spans="2:2">
      <c r="B145" s="123"/>
    </row>
    <row r="146" spans="2:2">
      <c r="B146" s="123"/>
    </row>
    <row r="147" spans="2:2">
      <c r="B147" s="123"/>
    </row>
    <row r="148" spans="2:2">
      <c r="B148" s="123"/>
    </row>
    <row r="149" spans="2:2">
      <c r="B149" s="123"/>
    </row>
    <row r="150" spans="2:2">
      <c r="B150" s="123"/>
    </row>
    <row r="151" spans="2:2">
      <c r="B151" s="123"/>
    </row>
    <row r="152" spans="2:2">
      <c r="B152" s="123"/>
    </row>
    <row r="153" spans="2:2">
      <c r="B153" s="123"/>
    </row>
    <row r="154" spans="2:2">
      <c r="B154" s="123"/>
    </row>
    <row r="155" spans="2:2">
      <c r="B155" s="123"/>
    </row>
    <row r="156" spans="2:2">
      <c r="B156" s="123"/>
    </row>
    <row r="157" spans="2:2">
      <c r="B157" s="123"/>
    </row>
    <row r="158" spans="2:2">
      <c r="B158" s="123"/>
    </row>
    <row r="159" spans="2:2">
      <c r="B159" s="123"/>
    </row>
    <row r="160" spans="2:2">
      <c r="B160" s="123"/>
    </row>
    <row r="161" spans="2:2">
      <c r="B161" s="123"/>
    </row>
    <row r="162" spans="2:2">
      <c r="B162" s="123"/>
    </row>
    <row r="163" spans="2:2">
      <c r="B163" s="123"/>
    </row>
    <row r="164" spans="2:2">
      <c r="B164" s="123"/>
    </row>
    <row r="165" spans="2:2">
      <c r="B165" s="123"/>
    </row>
    <row r="166" spans="2:2">
      <c r="B166" s="123"/>
    </row>
    <row r="167" spans="2:2">
      <c r="B167" s="123"/>
    </row>
    <row r="168" spans="2:2">
      <c r="B168" s="123"/>
    </row>
    <row r="169" spans="2:2">
      <c r="B169" s="123"/>
    </row>
    <row r="170" spans="2:2">
      <c r="B170" s="123"/>
    </row>
    <row r="171" spans="2:2">
      <c r="B171" s="123"/>
    </row>
    <row r="172" spans="2:2">
      <c r="B172" s="123"/>
    </row>
    <row r="173" spans="2:2">
      <c r="B173" s="123"/>
    </row>
    <row r="174" spans="2:2">
      <c r="B174" s="123"/>
    </row>
    <row r="175" spans="2:2">
      <c r="B175" s="123"/>
    </row>
    <row r="176" spans="2:2">
      <c r="B176" s="123"/>
    </row>
    <row r="177" spans="2:2">
      <c r="B177" s="123"/>
    </row>
    <row r="178" spans="2:2">
      <c r="B178" s="123"/>
    </row>
    <row r="179" spans="2:2">
      <c r="B179" s="123"/>
    </row>
    <row r="180" spans="2:2">
      <c r="B180" s="123"/>
    </row>
    <row r="181" spans="2:2">
      <c r="B181" s="123"/>
    </row>
    <row r="182" spans="2:2">
      <c r="B182" s="123"/>
    </row>
    <row r="183" spans="2:2">
      <c r="B183" s="123"/>
    </row>
    <row r="184" spans="2:2">
      <c r="B184" s="123"/>
    </row>
    <row r="185" spans="2:2">
      <c r="B185" s="123"/>
    </row>
    <row r="186" spans="2:2">
      <c r="B186" s="123"/>
    </row>
    <row r="187" spans="2:2">
      <c r="B187" s="123"/>
    </row>
    <row r="188" spans="2:2">
      <c r="B188" s="123"/>
    </row>
    <row r="189" spans="2:2">
      <c r="B189" s="123"/>
    </row>
    <row r="190" spans="2:2">
      <c r="B190" s="123"/>
    </row>
    <row r="191" spans="2:2">
      <c r="B191" s="123"/>
    </row>
    <row r="192" spans="2:2">
      <c r="B192" s="123"/>
    </row>
    <row r="193" spans="2:2">
      <c r="B193" s="123"/>
    </row>
    <row r="194" spans="2:2">
      <c r="B194" s="123"/>
    </row>
    <row r="195" spans="2:2">
      <c r="B195" s="123"/>
    </row>
    <row r="196" spans="2:2">
      <c r="B196" s="123"/>
    </row>
    <row r="197" spans="2:2">
      <c r="B197" s="123"/>
    </row>
    <row r="198" spans="2:2">
      <c r="B198" s="123"/>
    </row>
    <row r="199" spans="2:2">
      <c r="B199" s="123"/>
    </row>
    <row r="200" spans="2:2">
      <c r="B200" s="123"/>
    </row>
    <row r="201" spans="2:2">
      <c r="B201" s="123"/>
    </row>
    <row r="202" spans="2:2">
      <c r="B202" s="123"/>
    </row>
    <row r="203" spans="2:2">
      <c r="B203" s="123"/>
    </row>
    <row r="204" spans="2:2">
      <c r="B204" s="123"/>
    </row>
    <row r="205" spans="2:2">
      <c r="B205" s="123"/>
    </row>
    <row r="206" spans="2:2">
      <c r="B206" s="123"/>
    </row>
    <row r="207" spans="2:2">
      <c r="B207" s="123"/>
    </row>
    <row r="208" spans="2:2">
      <c r="B208" s="123"/>
    </row>
    <row r="209" spans="2:2">
      <c r="B209" s="123"/>
    </row>
    <row r="210" spans="2:2">
      <c r="B210" s="123"/>
    </row>
    <row r="211" spans="2:2">
      <c r="B211" s="123"/>
    </row>
    <row r="212" spans="2:2">
      <c r="B212" s="123"/>
    </row>
    <row r="213" spans="2:2">
      <c r="B213" s="123"/>
    </row>
    <row r="214" spans="2:2">
      <c r="B214" s="123"/>
    </row>
    <row r="215" spans="2:2">
      <c r="B215" s="123"/>
    </row>
    <row r="216" spans="2:2">
      <c r="B216" s="123"/>
    </row>
    <row r="217" spans="2:2">
      <c r="B217" s="123"/>
    </row>
    <row r="218" spans="2:2">
      <c r="B218" s="123"/>
    </row>
    <row r="219" spans="2:2">
      <c r="B219" s="123"/>
    </row>
    <row r="220" spans="2:2">
      <c r="B220" s="123"/>
    </row>
    <row r="221" spans="2:2">
      <c r="B221" s="123"/>
    </row>
    <row r="222" spans="2:2">
      <c r="B222" s="123"/>
    </row>
    <row r="223" spans="2:2">
      <c r="B223" s="123"/>
    </row>
    <row r="224" spans="2:2">
      <c r="B224" s="123"/>
    </row>
    <row r="225" spans="2:2">
      <c r="B225" s="123"/>
    </row>
    <row r="226" spans="2:2">
      <c r="B226" s="123"/>
    </row>
    <row r="227" spans="2:2">
      <c r="B227" s="123"/>
    </row>
    <row r="228" spans="2:2">
      <c r="B228" s="123"/>
    </row>
    <row r="229" spans="2:2">
      <c r="B229" s="123"/>
    </row>
    <row r="230" spans="2:2">
      <c r="B230" s="123"/>
    </row>
    <row r="231" spans="2:2">
      <c r="B231" s="123"/>
    </row>
    <row r="232" spans="2:2">
      <c r="B232" s="123"/>
    </row>
    <row r="233" spans="2:2">
      <c r="B233" s="123"/>
    </row>
    <row r="234" spans="2:2">
      <c r="B234" s="123"/>
    </row>
    <row r="235" spans="2:2">
      <c r="B235" s="123"/>
    </row>
    <row r="236" spans="2:2">
      <c r="B236" s="123"/>
    </row>
    <row r="237" spans="2:2">
      <c r="B237" s="123"/>
    </row>
    <row r="238" spans="2:2">
      <c r="B238" s="123"/>
    </row>
    <row r="239" spans="2:2">
      <c r="B239" s="123"/>
    </row>
    <row r="240" spans="2:2">
      <c r="B240" s="123"/>
    </row>
    <row r="241" spans="2:2">
      <c r="B241" s="123"/>
    </row>
    <row r="242" spans="2:2">
      <c r="B242" s="123"/>
    </row>
    <row r="243" spans="2:2">
      <c r="B243" s="123"/>
    </row>
    <row r="244" spans="2:2">
      <c r="B244" s="123"/>
    </row>
    <row r="245" spans="2:2">
      <c r="B245" s="123"/>
    </row>
    <row r="246" spans="2:2">
      <c r="B246" s="123"/>
    </row>
    <row r="247" spans="2:2">
      <c r="B247" s="123"/>
    </row>
    <row r="248" spans="2:2">
      <c r="B248" s="123"/>
    </row>
    <row r="249" spans="2:2">
      <c r="B249" s="123"/>
    </row>
    <row r="250" spans="2:2">
      <c r="B250" s="123"/>
    </row>
    <row r="251" spans="2:2">
      <c r="B251" s="123"/>
    </row>
  </sheetData>
  <mergeCells count="7">
    <mergeCell ref="B2:H2"/>
    <mergeCell ref="A6:H6"/>
    <mergeCell ref="A67:H67"/>
    <mergeCell ref="A104:B104"/>
    <mergeCell ref="D104:E104"/>
    <mergeCell ref="A4:B4"/>
    <mergeCell ref="A5:B5"/>
  </mergeCells>
  <printOptions horizontalCentered="1"/>
  <pageMargins left="0.59055118110236215" right="0.59055118110236215" top="0.98425196850393704" bottom="0.59055118110236215" header="0" footer="0"/>
  <pageSetup paperSize="9" scale="83" fitToHeight="0" orientation="landscape" blackAndWhite="1" r:id="rId1"/>
  <rowBreaks count="1" manualBreakCount="1">
    <brk id="75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198"/>
  <sheetViews>
    <sheetView view="pageBreakPreview" zoomScale="75" zoomScaleNormal="60" zoomScaleSheetLayoutView="75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A14" sqref="A14"/>
    </sheetView>
  </sheetViews>
  <sheetFormatPr defaultColWidth="9.109375" defaultRowHeight="18"/>
  <cols>
    <col min="1" max="1" width="85" style="131" customWidth="1"/>
    <col min="2" max="2" width="15.33203125" style="9" customWidth="1"/>
    <col min="3" max="6" width="18.6640625" style="9" customWidth="1"/>
    <col min="7" max="7" width="15.5546875" style="9" customWidth="1"/>
    <col min="8" max="8" width="15" style="9" customWidth="1"/>
    <col min="9" max="9" width="10" style="131" customWidth="1"/>
    <col min="10" max="10" width="9.5546875" style="131" customWidth="1"/>
    <col min="11" max="16384" width="9.109375" style="131"/>
  </cols>
  <sheetData>
    <row r="1" spans="1:8">
      <c r="H1" s="132" t="s">
        <v>343</v>
      </c>
    </row>
    <row r="2" spans="1:8" ht="22.8">
      <c r="A2" s="490" t="s">
        <v>103</v>
      </c>
      <c r="B2" s="490"/>
      <c r="C2" s="490"/>
      <c r="D2" s="490"/>
      <c r="E2" s="490"/>
      <c r="F2" s="490"/>
      <c r="G2" s="490"/>
      <c r="H2" s="490"/>
    </row>
    <row r="3" spans="1:8">
      <c r="A3" s="493" t="s">
        <v>435</v>
      </c>
      <c r="B3" s="493"/>
      <c r="C3" s="493"/>
      <c r="D3" s="493"/>
      <c r="E3" s="493"/>
      <c r="F3" s="493"/>
      <c r="G3" s="493"/>
      <c r="H3" s="493"/>
    </row>
    <row r="4" spans="1:8" ht="43.5" customHeight="1">
      <c r="A4" s="494" t="s">
        <v>153</v>
      </c>
      <c r="B4" s="495" t="s">
        <v>18</v>
      </c>
      <c r="C4" s="496" t="s">
        <v>330</v>
      </c>
      <c r="D4" s="497"/>
      <c r="E4" s="498" t="s">
        <v>427</v>
      </c>
      <c r="F4" s="499"/>
      <c r="G4" s="499"/>
      <c r="H4" s="500"/>
    </row>
    <row r="5" spans="1:8" ht="36">
      <c r="A5" s="494"/>
      <c r="B5" s="495"/>
      <c r="C5" s="161" t="s">
        <v>432</v>
      </c>
      <c r="D5" s="161" t="s">
        <v>433</v>
      </c>
      <c r="E5" s="161" t="s">
        <v>144</v>
      </c>
      <c r="F5" s="161" t="s">
        <v>140</v>
      </c>
      <c r="G5" s="110" t="s">
        <v>150</v>
      </c>
      <c r="H5" s="110" t="s">
        <v>151</v>
      </c>
    </row>
    <row r="6" spans="1:8">
      <c r="A6" s="264">
        <v>1</v>
      </c>
      <c r="B6" s="265">
        <v>2</v>
      </c>
      <c r="C6" s="264">
        <v>3</v>
      </c>
      <c r="D6" s="265">
        <v>4</v>
      </c>
      <c r="E6" s="264">
        <v>5</v>
      </c>
      <c r="F6" s="265">
        <v>6</v>
      </c>
      <c r="G6" s="264">
        <v>7</v>
      </c>
      <c r="H6" s="265">
        <v>8</v>
      </c>
    </row>
    <row r="7" spans="1:8" ht="30" customHeight="1">
      <c r="A7" s="492" t="s">
        <v>102</v>
      </c>
      <c r="B7" s="492"/>
      <c r="C7" s="492"/>
      <c r="D7" s="492"/>
      <c r="E7" s="492"/>
      <c r="F7" s="492"/>
      <c r="G7" s="492"/>
      <c r="H7" s="492"/>
    </row>
    <row r="8" spans="1:8" ht="34.799999999999997">
      <c r="A8" s="41" t="s">
        <v>52</v>
      </c>
      <c r="B8" s="261">
        <v>2000</v>
      </c>
      <c r="C8" s="338">
        <v>-132031</v>
      </c>
      <c r="D8" s="221">
        <f>F8</f>
        <v>-147878</v>
      </c>
      <c r="E8" s="338">
        <v>-156125</v>
      </c>
      <c r="F8" s="221">
        <v>-147878</v>
      </c>
      <c r="G8" s="221" t="s">
        <v>31</v>
      </c>
      <c r="H8" s="160" t="s">
        <v>31</v>
      </c>
    </row>
    <row r="9" spans="1:8" ht="36">
      <c r="A9" s="6" t="s">
        <v>207</v>
      </c>
      <c r="B9" s="102">
        <v>2010</v>
      </c>
      <c r="C9" s="339">
        <f>SUM(C10:C10)</f>
        <v>0</v>
      </c>
      <c r="D9" s="222">
        <f t="shared" ref="D9:F9" si="0">SUM(D10:D10)</f>
        <v>0</v>
      </c>
      <c r="E9" s="339">
        <f t="shared" si="0"/>
        <v>0</v>
      </c>
      <c r="F9" s="222">
        <f t="shared" si="0"/>
        <v>0</v>
      </c>
      <c r="G9" s="222">
        <f t="shared" ref="G9" si="1">IF(F9="(    )",0,F9)-IF(E9="(    )",0,E9)</f>
        <v>0</v>
      </c>
      <c r="H9" s="83">
        <f t="shared" ref="H9" si="2">IF(IF(E9="(    )",0,E9)=0,0,IF(F9="(    )",0,F9)/IF(E9="(    )",0,E9))*100</f>
        <v>0</v>
      </c>
    </row>
    <row r="10" spans="1:8" ht="39.75" customHeight="1">
      <c r="A10" s="42" t="s">
        <v>420</v>
      </c>
      <c r="B10" s="102">
        <v>2011</v>
      </c>
      <c r="C10" s="339" t="s">
        <v>185</v>
      </c>
      <c r="D10" s="222" t="s">
        <v>185</v>
      </c>
      <c r="E10" s="339" t="s">
        <v>185</v>
      </c>
      <c r="F10" s="222" t="s">
        <v>185</v>
      </c>
      <c r="G10" s="222">
        <f t="shared" ref="G10" si="3">IF(F10="(    )",0,F10)-IF(E10="(    )",0,E10)</f>
        <v>0</v>
      </c>
      <c r="H10" s="83">
        <f t="shared" ref="H10" si="4">IF(IF(E10="(    )",0,E10)=0,0,IF(F10="(    )",0,F10)/IF(E10="(    )",0,E10))*100</f>
        <v>0</v>
      </c>
    </row>
    <row r="11" spans="1:8" ht="27" customHeight="1">
      <c r="A11" s="42" t="s">
        <v>117</v>
      </c>
      <c r="B11" s="102">
        <v>2020</v>
      </c>
      <c r="C11" s="339" t="s">
        <v>185</v>
      </c>
      <c r="D11" s="222" t="s">
        <v>185</v>
      </c>
      <c r="E11" s="339" t="s">
        <v>185</v>
      </c>
      <c r="F11" s="222" t="s">
        <v>185</v>
      </c>
      <c r="G11" s="222">
        <f t="shared" ref="G11:G16" si="5">IF(F11="(    )",0,F11)-IF(E11="(    )",0,E11)</f>
        <v>0</v>
      </c>
      <c r="H11" s="83">
        <f t="shared" ref="H11:H16" si="6">IF(IF(E11="(    )",0,E11)=0,0,IF(F11="(    )",0,F11)/IF(E11="(    )",0,E11))*100</f>
        <v>0</v>
      </c>
    </row>
    <row r="12" spans="1:8" ht="27" customHeight="1">
      <c r="A12" s="42" t="s">
        <v>61</v>
      </c>
      <c r="B12" s="102">
        <v>2030</v>
      </c>
      <c r="C12" s="339" t="s">
        <v>185</v>
      </c>
      <c r="D12" s="222" t="s">
        <v>185</v>
      </c>
      <c r="E12" s="339" t="s">
        <v>185</v>
      </c>
      <c r="F12" s="222" t="s">
        <v>185</v>
      </c>
      <c r="G12" s="222">
        <f t="shared" si="5"/>
        <v>0</v>
      </c>
      <c r="H12" s="83">
        <f t="shared" si="6"/>
        <v>0</v>
      </c>
    </row>
    <row r="13" spans="1:8" ht="27" customHeight="1">
      <c r="A13" s="42" t="s">
        <v>96</v>
      </c>
      <c r="B13" s="102">
        <v>2031</v>
      </c>
      <c r="C13" s="339" t="s">
        <v>185</v>
      </c>
      <c r="D13" s="222" t="s">
        <v>185</v>
      </c>
      <c r="E13" s="339" t="s">
        <v>185</v>
      </c>
      <c r="F13" s="222" t="s">
        <v>185</v>
      </c>
      <c r="G13" s="222">
        <f t="shared" si="5"/>
        <v>0</v>
      </c>
      <c r="H13" s="83">
        <f t="shared" si="6"/>
        <v>0</v>
      </c>
    </row>
    <row r="14" spans="1:8" ht="27" customHeight="1">
      <c r="A14" s="42" t="s">
        <v>26</v>
      </c>
      <c r="B14" s="102">
        <v>2040</v>
      </c>
      <c r="C14" s="339" t="s">
        <v>185</v>
      </c>
      <c r="D14" s="222" t="s">
        <v>185</v>
      </c>
      <c r="E14" s="339" t="s">
        <v>185</v>
      </c>
      <c r="F14" s="222" t="s">
        <v>185</v>
      </c>
      <c r="G14" s="222">
        <f t="shared" si="5"/>
        <v>0</v>
      </c>
      <c r="H14" s="83">
        <f t="shared" si="6"/>
        <v>0</v>
      </c>
    </row>
    <row r="15" spans="1:8" ht="27" customHeight="1">
      <c r="A15" s="42" t="s">
        <v>88</v>
      </c>
      <c r="B15" s="102">
        <v>2050</v>
      </c>
      <c r="C15" s="339" t="s">
        <v>185</v>
      </c>
      <c r="D15" s="222" t="s">
        <v>185</v>
      </c>
      <c r="E15" s="339" t="s">
        <v>185</v>
      </c>
      <c r="F15" s="222" t="s">
        <v>185</v>
      </c>
      <c r="G15" s="222">
        <f t="shared" si="5"/>
        <v>0</v>
      </c>
      <c r="H15" s="83">
        <f t="shared" si="6"/>
        <v>0</v>
      </c>
    </row>
    <row r="16" spans="1:8" ht="27" customHeight="1">
      <c r="A16" s="42" t="s">
        <v>686</v>
      </c>
      <c r="B16" s="102">
        <v>2060</v>
      </c>
      <c r="C16" s="339">
        <v>-90</v>
      </c>
      <c r="D16" s="222">
        <f>F16</f>
        <v>77</v>
      </c>
      <c r="E16" s="339" t="s">
        <v>185</v>
      </c>
      <c r="F16" s="222">
        <v>77</v>
      </c>
      <c r="G16" s="222">
        <f t="shared" si="5"/>
        <v>77</v>
      </c>
      <c r="H16" s="83">
        <f t="shared" si="6"/>
        <v>0</v>
      </c>
    </row>
    <row r="17" spans="1:8" ht="34.799999999999997">
      <c r="A17" s="41" t="s">
        <v>53</v>
      </c>
      <c r="B17" s="261">
        <v>2070</v>
      </c>
      <c r="C17" s="338">
        <f>SUM(C8,C9,C11,C12,C14,C15,C16)+'I. Фін результат'!C75</f>
        <v>-147878.19999999995</v>
      </c>
      <c r="D17" s="221">
        <f>SUM(D8,D9,D11,D12,D14,D15,D16)+'I. Фін результат'!D75</f>
        <v>-161994</v>
      </c>
      <c r="E17" s="338">
        <f>SUM(E8,E9,E11,E12,E14,E15,E16)+'I. Фін результат'!E75</f>
        <v>-156125</v>
      </c>
      <c r="F17" s="221">
        <f>SUM(F8,F9,F11,F12,F14,F15,F16)+'I. Фін результат'!F75</f>
        <v>-161994</v>
      </c>
      <c r="G17" s="100" t="s">
        <v>31</v>
      </c>
      <c r="H17" s="160" t="s">
        <v>31</v>
      </c>
    </row>
    <row r="18" spans="1:8" ht="30" customHeight="1">
      <c r="A18" s="492" t="s">
        <v>355</v>
      </c>
      <c r="B18" s="492"/>
      <c r="C18" s="492"/>
      <c r="D18" s="492"/>
      <c r="E18" s="492"/>
      <c r="F18" s="492"/>
      <c r="G18" s="492"/>
      <c r="H18" s="492"/>
    </row>
    <row r="19" spans="1:8" ht="34.799999999999997">
      <c r="A19" s="41" t="s">
        <v>356</v>
      </c>
      <c r="B19" s="261">
        <v>2110</v>
      </c>
      <c r="C19" s="338">
        <f>SUM(C20:C26)</f>
        <v>5028</v>
      </c>
      <c r="D19" s="221">
        <f t="shared" ref="D19:F19" si="7">SUM(D20:D26)</f>
        <v>4735</v>
      </c>
      <c r="E19" s="338">
        <f t="shared" si="7"/>
        <v>6227.9</v>
      </c>
      <c r="F19" s="221">
        <f t="shared" si="7"/>
        <v>4735</v>
      </c>
      <c r="G19" s="221">
        <f t="shared" ref="G19" si="8">IF(F19="(    )",0,F19)-IF(E19="(    )",0,E19)</f>
        <v>-1492.8999999999996</v>
      </c>
      <c r="H19" s="100">
        <f t="shared" ref="H19" si="9">IF(IF(E19="(    )",0,E19)=0,0,IF(F19="(    )",0,F19)/IF(E19="(    )",0,E19))*100</f>
        <v>76.028837971065684</v>
      </c>
    </row>
    <row r="20" spans="1:8" ht="27" customHeight="1">
      <c r="A20" s="42" t="s">
        <v>285</v>
      </c>
      <c r="B20" s="102">
        <v>2111</v>
      </c>
      <c r="C20" s="339">
        <v>559</v>
      </c>
      <c r="D20" s="222">
        <f>F20</f>
        <v>279</v>
      </c>
      <c r="E20" s="339">
        <v>600</v>
      </c>
      <c r="F20" s="222">
        <v>279</v>
      </c>
      <c r="G20" s="222">
        <f t="shared" ref="G20:G43" si="10">IF(F20="(    )",0,F20)-IF(E20="(    )",0,E20)</f>
        <v>-321</v>
      </c>
      <c r="H20" s="83">
        <f t="shared" ref="H20:H43" si="11">IF(IF(E20="(    )",0,E20)=0,0,IF(F20="(    )",0,F20)/IF(E20="(    )",0,E20))*100</f>
        <v>46.5</v>
      </c>
    </row>
    <row r="21" spans="1:8" ht="36">
      <c r="A21" s="42" t="s">
        <v>286</v>
      </c>
      <c r="B21" s="102">
        <v>2112</v>
      </c>
      <c r="C21" s="339" t="s">
        <v>185</v>
      </c>
      <c r="D21" s="222" t="str">
        <f t="shared" ref="D21:D26" si="12">F21</f>
        <v>(    )</v>
      </c>
      <c r="E21" s="339" t="s">
        <v>185</v>
      </c>
      <c r="F21" s="222" t="s">
        <v>185</v>
      </c>
      <c r="G21" s="222">
        <f t="shared" si="10"/>
        <v>0</v>
      </c>
      <c r="H21" s="83">
        <f t="shared" si="11"/>
        <v>0</v>
      </c>
    </row>
    <row r="22" spans="1:8" ht="27" customHeight="1">
      <c r="A22" s="42" t="s">
        <v>71</v>
      </c>
      <c r="B22" s="102">
        <v>2113</v>
      </c>
      <c r="C22" s="339"/>
      <c r="D22" s="222">
        <f t="shared" si="12"/>
        <v>0</v>
      </c>
      <c r="E22" s="339"/>
      <c r="F22" s="222"/>
      <c r="G22" s="222">
        <f t="shared" si="10"/>
        <v>0</v>
      </c>
      <c r="H22" s="83">
        <f t="shared" si="11"/>
        <v>0</v>
      </c>
    </row>
    <row r="23" spans="1:8" ht="27" customHeight="1">
      <c r="A23" s="42" t="s">
        <v>79</v>
      </c>
      <c r="B23" s="102">
        <v>2114</v>
      </c>
      <c r="C23" s="339"/>
      <c r="D23" s="222">
        <f t="shared" si="12"/>
        <v>0</v>
      </c>
      <c r="E23" s="339"/>
      <c r="F23" s="222"/>
      <c r="G23" s="222">
        <f t="shared" si="10"/>
        <v>0</v>
      </c>
      <c r="H23" s="83">
        <f t="shared" si="11"/>
        <v>0</v>
      </c>
    </row>
    <row r="24" spans="1:8" ht="27" customHeight="1">
      <c r="A24" s="42" t="s">
        <v>294</v>
      </c>
      <c r="B24" s="102">
        <v>2115</v>
      </c>
      <c r="C24" s="339"/>
      <c r="D24" s="222">
        <f t="shared" si="12"/>
        <v>0</v>
      </c>
      <c r="E24" s="339"/>
      <c r="F24" s="222"/>
      <c r="G24" s="222">
        <f t="shared" si="10"/>
        <v>0</v>
      </c>
      <c r="H24" s="83">
        <f t="shared" si="11"/>
        <v>0</v>
      </c>
    </row>
    <row r="25" spans="1:8" ht="27" customHeight="1">
      <c r="A25" s="42" t="s">
        <v>364</v>
      </c>
      <c r="B25" s="102">
        <v>2116</v>
      </c>
      <c r="C25" s="339">
        <v>4469</v>
      </c>
      <c r="D25" s="222">
        <f t="shared" si="12"/>
        <v>4456</v>
      </c>
      <c r="E25" s="339">
        <v>5627.9</v>
      </c>
      <c r="F25" s="222">
        <v>4456</v>
      </c>
      <c r="G25" s="222">
        <f t="shared" si="10"/>
        <v>-1171.8999999999996</v>
      </c>
      <c r="H25" s="83">
        <f t="shared" si="11"/>
        <v>79.176957657385529</v>
      </c>
    </row>
    <row r="26" spans="1:8" ht="27" customHeight="1">
      <c r="A26" s="42" t="s">
        <v>287</v>
      </c>
      <c r="B26" s="102">
        <v>2117</v>
      </c>
      <c r="C26" s="339"/>
      <c r="D26" s="222">
        <f t="shared" si="12"/>
        <v>0</v>
      </c>
      <c r="E26" s="339"/>
      <c r="F26" s="222"/>
      <c r="G26" s="222">
        <f t="shared" si="10"/>
        <v>0</v>
      </c>
      <c r="H26" s="83">
        <f t="shared" si="11"/>
        <v>0</v>
      </c>
    </row>
    <row r="27" spans="1:8" ht="34.799999999999997">
      <c r="A27" s="41" t="s">
        <v>365</v>
      </c>
      <c r="B27" s="7">
        <v>2120</v>
      </c>
      <c r="C27" s="338">
        <f>SUM(C28:C35)</f>
        <v>53635</v>
      </c>
      <c r="D27" s="221">
        <f t="shared" ref="D27:F27" si="13">SUM(D28:D35)</f>
        <v>53457</v>
      </c>
      <c r="E27" s="338">
        <f t="shared" si="13"/>
        <v>67549.7</v>
      </c>
      <c r="F27" s="221">
        <f t="shared" si="13"/>
        <v>53457</v>
      </c>
      <c r="G27" s="221">
        <f t="shared" si="10"/>
        <v>-14092.699999999997</v>
      </c>
      <c r="H27" s="100">
        <f t="shared" si="11"/>
        <v>79.137287064191256</v>
      </c>
    </row>
    <row r="28" spans="1:8" ht="27" customHeight="1">
      <c r="A28" s="6" t="s">
        <v>214</v>
      </c>
      <c r="B28" s="264">
        <v>2121</v>
      </c>
      <c r="C28" s="339"/>
      <c r="D28" s="222"/>
      <c r="E28" s="339"/>
      <c r="F28" s="222"/>
      <c r="G28" s="222">
        <f t="shared" si="10"/>
        <v>0</v>
      </c>
      <c r="H28" s="83">
        <f t="shared" si="11"/>
        <v>0</v>
      </c>
    </row>
    <row r="29" spans="1:8" ht="27" customHeight="1">
      <c r="A29" s="42" t="s">
        <v>70</v>
      </c>
      <c r="B29" s="102">
        <v>2122</v>
      </c>
      <c r="C29" s="339">
        <v>53621</v>
      </c>
      <c r="D29" s="222">
        <f>F29</f>
        <v>53443</v>
      </c>
      <c r="E29" s="339">
        <v>67534.7</v>
      </c>
      <c r="F29" s="222">
        <v>53443</v>
      </c>
      <c r="G29" s="222">
        <f t="shared" si="10"/>
        <v>-14091.699999999997</v>
      </c>
      <c r="H29" s="83">
        <f t="shared" si="11"/>
        <v>79.13413400814693</v>
      </c>
    </row>
    <row r="30" spans="1:8" ht="27" customHeight="1">
      <c r="A30" s="42" t="s">
        <v>71</v>
      </c>
      <c r="B30" s="102">
        <v>2123</v>
      </c>
      <c r="C30" s="339"/>
      <c r="D30" s="222">
        <f t="shared" ref="D30:D35" si="14">F30</f>
        <v>0</v>
      </c>
      <c r="E30" s="339"/>
      <c r="F30" s="222"/>
      <c r="G30" s="222">
        <f t="shared" si="10"/>
        <v>0</v>
      </c>
      <c r="H30" s="83">
        <f t="shared" si="11"/>
        <v>0</v>
      </c>
    </row>
    <row r="31" spans="1:8" ht="27" customHeight="1">
      <c r="A31" s="42" t="s">
        <v>288</v>
      </c>
      <c r="B31" s="102">
        <v>2124</v>
      </c>
      <c r="C31" s="339">
        <v>10</v>
      </c>
      <c r="D31" s="222">
        <f t="shared" si="14"/>
        <v>7</v>
      </c>
      <c r="E31" s="339">
        <v>11</v>
      </c>
      <c r="F31" s="222">
        <v>7</v>
      </c>
      <c r="G31" s="222">
        <f t="shared" si="10"/>
        <v>-4</v>
      </c>
      <c r="H31" s="83">
        <f t="shared" si="11"/>
        <v>63.636363636363633</v>
      </c>
    </row>
    <row r="32" spans="1:8" ht="27" customHeight="1">
      <c r="A32" s="42" t="s">
        <v>289</v>
      </c>
      <c r="B32" s="102">
        <v>2125</v>
      </c>
      <c r="C32" s="339"/>
      <c r="D32" s="222">
        <f t="shared" si="14"/>
        <v>0</v>
      </c>
      <c r="E32" s="339"/>
      <c r="F32" s="222"/>
      <c r="G32" s="222">
        <f t="shared" si="10"/>
        <v>0</v>
      </c>
      <c r="H32" s="83">
        <f t="shared" si="11"/>
        <v>0</v>
      </c>
    </row>
    <row r="33" spans="1:9" ht="54">
      <c r="A33" s="42" t="s">
        <v>419</v>
      </c>
      <c r="B33" s="102">
        <v>2126</v>
      </c>
      <c r="C33" s="339"/>
      <c r="D33" s="222">
        <f t="shared" si="14"/>
        <v>0</v>
      </c>
      <c r="E33" s="339"/>
      <c r="F33" s="222"/>
      <c r="G33" s="222">
        <f t="shared" si="10"/>
        <v>0</v>
      </c>
      <c r="H33" s="83">
        <f t="shared" si="11"/>
        <v>0</v>
      </c>
    </row>
    <row r="34" spans="1:9" ht="27" customHeight="1">
      <c r="A34" s="42" t="s">
        <v>294</v>
      </c>
      <c r="B34" s="102">
        <v>2127</v>
      </c>
      <c r="C34" s="339"/>
      <c r="D34" s="222">
        <f t="shared" si="14"/>
        <v>0</v>
      </c>
      <c r="E34" s="339"/>
      <c r="F34" s="222"/>
      <c r="G34" s="222">
        <f t="shared" si="10"/>
        <v>0</v>
      </c>
      <c r="H34" s="83">
        <f t="shared" si="11"/>
        <v>0</v>
      </c>
    </row>
    <row r="35" spans="1:9" ht="27" customHeight="1">
      <c r="A35" s="42" t="s">
        <v>571</v>
      </c>
      <c r="B35" s="102">
        <v>2128</v>
      </c>
      <c r="C35" s="339">
        <v>4</v>
      </c>
      <c r="D35" s="222">
        <f t="shared" si="14"/>
        <v>7</v>
      </c>
      <c r="E35" s="339">
        <v>4</v>
      </c>
      <c r="F35" s="222">
        <v>7</v>
      </c>
      <c r="G35" s="222">
        <f t="shared" si="10"/>
        <v>3</v>
      </c>
      <c r="H35" s="83">
        <f t="shared" si="11"/>
        <v>175</v>
      </c>
    </row>
    <row r="36" spans="1:9" ht="34.799999999999997">
      <c r="A36" s="41" t="s">
        <v>398</v>
      </c>
      <c r="B36" s="7">
        <v>2130</v>
      </c>
      <c r="C36" s="338">
        <f>SUM(C37:C39)</f>
        <v>62381</v>
      </c>
      <c r="D36" s="221">
        <f t="shared" ref="D36:F36" si="15">SUM(D37:D39)</f>
        <v>63103</v>
      </c>
      <c r="E36" s="338">
        <f t="shared" si="15"/>
        <v>82592.399999999994</v>
      </c>
      <c r="F36" s="221">
        <f t="shared" si="15"/>
        <v>63103</v>
      </c>
      <c r="G36" s="221">
        <f t="shared" si="10"/>
        <v>-19489.399999999994</v>
      </c>
      <c r="H36" s="100">
        <f t="shared" si="11"/>
        <v>76.402913585269346</v>
      </c>
    </row>
    <row r="37" spans="1:9" ht="27" customHeight="1">
      <c r="A37" s="42" t="s">
        <v>290</v>
      </c>
      <c r="B37" s="102">
        <v>2131</v>
      </c>
      <c r="C37" s="339"/>
      <c r="D37" s="222"/>
      <c r="E37" s="339"/>
      <c r="F37" s="222"/>
      <c r="G37" s="222">
        <f t="shared" si="10"/>
        <v>0</v>
      </c>
      <c r="H37" s="83">
        <f t="shared" si="11"/>
        <v>0</v>
      </c>
    </row>
    <row r="38" spans="1:9" ht="27" customHeight="1">
      <c r="A38" s="42" t="s">
        <v>291</v>
      </c>
      <c r="B38" s="102">
        <v>2132</v>
      </c>
      <c r="C38" s="339">
        <v>62344</v>
      </c>
      <c r="D38" s="222">
        <f>F38</f>
        <v>63103</v>
      </c>
      <c r="E38" s="339">
        <v>82542.399999999994</v>
      </c>
      <c r="F38" s="222">
        <v>63103</v>
      </c>
      <c r="G38" s="222">
        <f t="shared" si="10"/>
        <v>-19439.399999999994</v>
      </c>
      <c r="H38" s="83">
        <f t="shared" si="11"/>
        <v>76.449194595747159</v>
      </c>
    </row>
    <row r="39" spans="1:9" ht="27" customHeight="1">
      <c r="A39" s="42" t="s">
        <v>572</v>
      </c>
      <c r="B39" s="102">
        <v>2133</v>
      </c>
      <c r="C39" s="339">
        <v>37</v>
      </c>
      <c r="D39" s="222"/>
      <c r="E39" s="339">
        <v>50</v>
      </c>
      <c r="F39" s="222"/>
      <c r="G39" s="222">
        <f t="shared" si="10"/>
        <v>-50</v>
      </c>
      <c r="H39" s="83">
        <f t="shared" si="11"/>
        <v>0</v>
      </c>
    </row>
    <row r="40" spans="1:9" ht="30" customHeight="1">
      <c r="A40" s="41" t="s">
        <v>292</v>
      </c>
      <c r="B40" s="7">
        <v>2140</v>
      </c>
      <c r="C40" s="338">
        <f>SUM(C41:C42)</f>
        <v>0</v>
      </c>
      <c r="D40" s="221">
        <f t="shared" ref="D40:F40" si="16">SUM(D41:D42)</f>
        <v>0</v>
      </c>
      <c r="E40" s="338">
        <f t="shared" si="16"/>
        <v>0</v>
      </c>
      <c r="F40" s="221">
        <f t="shared" si="16"/>
        <v>0</v>
      </c>
      <c r="G40" s="221">
        <f t="shared" si="10"/>
        <v>0</v>
      </c>
      <c r="H40" s="100">
        <f t="shared" si="11"/>
        <v>0</v>
      </c>
    </row>
    <row r="41" spans="1:9" ht="36">
      <c r="A41" s="6" t="s">
        <v>97</v>
      </c>
      <c r="B41" s="264">
        <v>2141</v>
      </c>
      <c r="C41" s="339"/>
      <c r="D41" s="222"/>
      <c r="E41" s="339"/>
      <c r="F41" s="222"/>
      <c r="G41" s="222">
        <f t="shared" si="10"/>
        <v>0</v>
      </c>
      <c r="H41" s="83">
        <f t="shared" si="11"/>
        <v>0</v>
      </c>
    </row>
    <row r="42" spans="1:9" ht="27" customHeight="1">
      <c r="A42" s="42" t="s">
        <v>421</v>
      </c>
      <c r="B42" s="102">
        <v>2142</v>
      </c>
      <c r="C42" s="339"/>
      <c r="D42" s="222"/>
      <c r="E42" s="339"/>
      <c r="F42" s="222"/>
      <c r="G42" s="222">
        <f t="shared" si="10"/>
        <v>0</v>
      </c>
      <c r="H42" s="83">
        <f t="shared" si="11"/>
        <v>0</v>
      </c>
    </row>
    <row r="43" spans="1:9" ht="30" customHeight="1">
      <c r="A43" s="41" t="s">
        <v>336</v>
      </c>
      <c r="B43" s="7">
        <v>2200</v>
      </c>
      <c r="C43" s="338">
        <f>SUM(C19,C27,C36,C40)</f>
        <v>121044</v>
      </c>
      <c r="D43" s="221">
        <f t="shared" ref="D43:F43" si="17">SUM(D19,D27,D36,D40)</f>
        <v>121295</v>
      </c>
      <c r="E43" s="338">
        <f t="shared" si="17"/>
        <v>156370</v>
      </c>
      <c r="F43" s="221">
        <f t="shared" si="17"/>
        <v>121295</v>
      </c>
      <c r="G43" s="221">
        <f t="shared" si="10"/>
        <v>-35075</v>
      </c>
      <c r="H43" s="100">
        <f t="shared" si="11"/>
        <v>77.569226833791646</v>
      </c>
    </row>
    <row r="44" spans="1:9" s="133" customFormat="1">
      <c r="A44" s="8"/>
      <c r="B44" s="9"/>
      <c r="C44" s="9"/>
      <c r="D44" s="9"/>
      <c r="E44" s="9"/>
      <c r="F44" s="9"/>
      <c r="G44" s="9"/>
      <c r="H44" s="9"/>
    </row>
    <row r="45" spans="1:9" s="133" customFormat="1">
      <c r="A45" s="8"/>
      <c r="B45" s="9"/>
      <c r="C45" s="9"/>
      <c r="D45" s="9"/>
      <c r="E45" s="9"/>
      <c r="F45" s="9"/>
      <c r="G45" s="9"/>
      <c r="H45" s="9"/>
    </row>
    <row r="46" spans="1:9" s="133" customFormat="1">
      <c r="A46" s="8"/>
      <c r="B46" s="9"/>
      <c r="C46" s="9"/>
      <c r="D46" s="9"/>
      <c r="E46" s="9"/>
      <c r="F46" s="9"/>
      <c r="G46" s="9"/>
      <c r="H46" s="9"/>
    </row>
    <row r="47" spans="1:9" s="60" customFormat="1" ht="18" customHeight="1">
      <c r="A47" s="465" t="s">
        <v>569</v>
      </c>
      <c r="B47" s="465"/>
      <c r="C47" s="262"/>
      <c r="D47" s="466" t="s">
        <v>80</v>
      </c>
      <c r="E47" s="466"/>
      <c r="F47" s="195"/>
      <c r="G47" s="63" t="s">
        <v>570</v>
      </c>
      <c r="H47" s="196"/>
      <c r="I47" s="63"/>
    </row>
    <row r="48" spans="1:9" s="134" customFormat="1" ht="15.6">
      <c r="A48" s="263"/>
      <c r="C48" s="491"/>
      <c r="D48" s="491"/>
      <c r="F48" s="491"/>
      <c r="G48" s="491"/>
      <c r="H48" s="491"/>
    </row>
    <row r="49" spans="1:10" s="9" customFormat="1">
      <c r="A49" s="10"/>
      <c r="I49" s="131"/>
      <c r="J49" s="131"/>
    </row>
    <row r="50" spans="1:10" s="9" customFormat="1">
      <c r="A50" s="10"/>
      <c r="I50" s="131"/>
      <c r="J50" s="131"/>
    </row>
    <row r="51" spans="1:10" s="9" customFormat="1">
      <c r="A51" s="10"/>
      <c r="I51" s="131"/>
      <c r="J51" s="131"/>
    </row>
    <row r="52" spans="1:10" s="9" customFormat="1">
      <c r="A52" s="10"/>
      <c r="I52" s="131"/>
      <c r="J52" s="131"/>
    </row>
    <row r="53" spans="1:10" s="9" customFormat="1">
      <c r="A53" s="10"/>
      <c r="I53" s="131"/>
      <c r="J53" s="131"/>
    </row>
    <row r="54" spans="1:10" s="9" customFormat="1">
      <c r="A54" s="10"/>
      <c r="I54" s="131"/>
      <c r="J54" s="131"/>
    </row>
    <row r="55" spans="1:10" s="9" customFormat="1">
      <c r="A55" s="10"/>
      <c r="I55" s="131"/>
      <c r="J55" s="131"/>
    </row>
    <row r="56" spans="1:10" s="9" customFormat="1">
      <c r="A56" s="10"/>
      <c r="I56" s="131"/>
      <c r="J56" s="131"/>
    </row>
    <row r="57" spans="1:10" s="9" customFormat="1">
      <c r="A57" s="10"/>
      <c r="I57" s="131"/>
      <c r="J57" s="131"/>
    </row>
    <row r="58" spans="1:10" s="9" customFormat="1">
      <c r="A58" s="10"/>
      <c r="I58" s="131"/>
      <c r="J58" s="131"/>
    </row>
    <row r="59" spans="1:10" s="9" customFormat="1">
      <c r="A59" s="10"/>
      <c r="I59" s="131"/>
      <c r="J59" s="131"/>
    </row>
    <row r="60" spans="1:10" s="9" customFormat="1">
      <c r="A60" s="10"/>
      <c r="I60" s="131"/>
      <c r="J60" s="131"/>
    </row>
    <row r="61" spans="1:10" s="9" customFormat="1">
      <c r="A61" s="10"/>
      <c r="I61" s="131"/>
      <c r="J61" s="131"/>
    </row>
    <row r="62" spans="1:10" s="9" customFormat="1">
      <c r="A62" s="10"/>
      <c r="I62" s="131"/>
      <c r="J62" s="131"/>
    </row>
    <row r="63" spans="1:10" s="9" customFormat="1">
      <c r="A63" s="10"/>
      <c r="I63" s="131"/>
      <c r="J63" s="131"/>
    </row>
    <row r="64" spans="1:10" s="9" customFormat="1">
      <c r="A64" s="10"/>
      <c r="I64" s="131"/>
      <c r="J64" s="131"/>
    </row>
    <row r="65" spans="1:10" s="9" customFormat="1">
      <c r="A65" s="10"/>
      <c r="I65" s="131"/>
      <c r="J65" s="131"/>
    </row>
    <row r="66" spans="1:10" s="9" customFormat="1">
      <c r="A66" s="10"/>
      <c r="I66" s="131"/>
      <c r="J66" s="131"/>
    </row>
    <row r="67" spans="1:10" s="9" customFormat="1">
      <c r="A67" s="10"/>
      <c r="I67" s="131"/>
      <c r="J67" s="131"/>
    </row>
    <row r="68" spans="1:10" s="9" customFormat="1">
      <c r="A68" s="10"/>
      <c r="I68" s="131"/>
      <c r="J68" s="131"/>
    </row>
    <row r="69" spans="1:10" s="9" customFormat="1">
      <c r="A69" s="10"/>
      <c r="I69" s="131"/>
      <c r="J69" s="131"/>
    </row>
    <row r="70" spans="1:10" s="9" customFormat="1">
      <c r="A70" s="10"/>
      <c r="I70" s="131"/>
      <c r="J70" s="131"/>
    </row>
    <row r="71" spans="1:10" s="9" customFormat="1">
      <c r="A71" s="10"/>
      <c r="I71" s="131"/>
      <c r="J71" s="131"/>
    </row>
    <row r="72" spans="1:10" s="9" customFormat="1">
      <c r="A72" s="10"/>
      <c r="I72" s="131"/>
      <c r="J72" s="131"/>
    </row>
    <row r="73" spans="1:10" s="9" customFormat="1">
      <c r="A73" s="10"/>
      <c r="I73" s="131"/>
      <c r="J73" s="131"/>
    </row>
    <row r="74" spans="1:10" s="9" customFormat="1">
      <c r="A74" s="10"/>
      <c r="I74" s="131"/>
      <c r="J74" s="131"/>
    </row>
    <row r="75" spans="1:10" s="9" customFormat="1">
      <c r="A75" s="10"/>
      <c r="I75" s="131"/>
      <c r="J75" s="131"/>
    </row>
    <row r="76" spans="1:10" s="9" customFormat="1">
      <c r="A76" s="10"/>
      <c r="I76" s="131"/>
      <c r="J76" s="131"/>
    </row>
    <row r="77" spans="1:10" s="9" customFormat="1">
      <c r="A77" s="10"/>
      <c r="I77" s="131"/>
      <c r="J77" s="131"/>
    </row>
    <row r="78" spans="1:10" s="9" customFormat="1">
      <c r="A78" s="10"/>
      <c r="I78" s="131"/>
      <c r="J78" s="131"/>
    </row>
    <row r="79" spans="1:10" s="9" customFormat="1">
      <c r="A79" s="10"/>
      <c r="I79" s="131"/>
      <c r="J79" s="131"/>
    </row>
    <row r="80" spans="1:10" s="9" customFormat="1">
      <c r="A80" s="10"/>
      <c r="I80" s="131"/>
      <c r="J80" s="131"/>
    </row>
    <row r="81" spans="1:10" s="9" customFormat="1">
      <c r="A81" s="10"/>
      <c r="I81" s="131"/>
      <c r="J81" s="131"/>
    </row>
    <row r="82" spans="1:10" s="9" customFormat="1">
      <c r="A82" s="10"/>
      <c r="I82" s="131"/>
      <c r="J82" s="131"/>
    </row>
    <row r="83" spans="1:10" s="9" customFormat="1">
      <c r="A83" s="10"/>
      <c r="I83" s="131"/>
      <c r="J83" s="131"/>
    </row>
    <row r="84" spans="1:10" s="9" customFormat="1">
      <c r="A84" s="10"/>
      <c r="I84" s="131"/>
      <c r="J84" s="131"/>
    </row>
    <row r="85" spans="1:10" s="9" customFormat="1">
      <c r="A85" s="10"/>
      <c r="I85" s="131"/>
      <c r="J85" s="131"/>
    </row>
    <row r="86" spans="1:10" s="9" customFormat="1">
      <c r="A86" s="10"/>
      <c r="I86" s="131"/>
      <c r="J86" s="131"/>
    </row>
    <row r="87" spans="1:10" s="9" customFormat="1">
      <c r="A87" s="10"/>
      <c r="I87" s="131"/>
      <c r="J87" s="131"/>
    </row>
    <row r="88" spans="1:10" s="9" customFormat="1">
      <c r="A88" s="10"/>
      <c r="I88" s="131"/>
      <c r="J88" s="131"/>
    </row>
    <row r="89" spans="1:10" s="9" customFormat="1">
      <c r="A89" s="10"/>
      <c r="I89" s="131"/>
      <c r="J89" s="131"/>
    </row>
    <row r="90" spans="1:10" s="9" customFormat="1">
      <c r="A90" s="10"/>
      <c r="I90" s="131"/>
      <c r="J90" s="131"/>
    </row>
    <row r="91" spans="1:10" s="9" customFormat="1">
      <c r="A91" s="10"/>
      <c r="I91" s="131"/>
      <c r="J91" s="131"/>
    </row>
    <row r="92" spans="1:10" s="9" customFormat="1">
      <c r="A92" s="10"/>
      <c r="I92" s="131"/>
      <c r="J92" s="131"/>
    </row>
    <row r="93" spans="1:10" s="9" customFormat="1">
      <c r="A93" s="10"/>
      <c r="I93" s="131"/>
      <c r="J93" s="131"/>
    </row>
    <row r="94" spans="1:10" s="9" customFormat="1">
      <c r="A94" s="10"/>
      <c r="I94" s="131"/>
      <c r="J94" s="131"/>
    </row>
    <row r="95" spans="1:10" s="9" customFormat="1">
      <c r="A95" s="10"/>
      <c r="I95" s="131"/>
      <c r="J95" s="131"/>
    </row>
    <row r="96" spans="1:10" s="9" customFormat="1">
      <c r="A96" s="10"/>
      <c r="I96" s="131"/>
      <c r="J96" s="131"/>
    </row>
    <row r="97" spans="1:10" s="9" customFormat="1">
      <c r="A97" s="10"/>
      <c r="I97" s="131"/>
      <c r="J97" s="131"/>
    </row>
    <row r="98" spans="1:10" s="9" customFormat="1">
      <c r="A98" s="10"/>
      <c r="I98" s="131"/>
      <c r="J98" s="131"/>
    </row>
    <row r="99" spans="1:10" s="9" customFormat="1">
      <c r="A99" s="10"/>
      <c r="I99" s="131"/>
      <c r="J99" s="131"/>
    </row>
    <row r="100" spans="1:10" s="9" customFormat="1">
      <c r="A100" s="10"/>
      <c r="I100" s="131"/>
      <c r="J100" s="131"/>
    </row>
    <row r="101" spans="1:10" s="9" customFormat="1">
      <c r="A101" s="10"/>
      <c r="I101" s="131"/>
      <c r="J101" s="131"/>
    </row>
    <row r="102" spans="1:10" s="9" customFormat="1">
      <c r="A102" s="10"/>
      <c r="I102" s="131"/>
      <c r="J102" s="131"/>
    </row>
    <row r="103" spans="1:10" s="9" customFormat="1">
      <c r="A103" s="10"/>
      <c r="I103" s="131"/>
      <c r="J103" s="131"/>
    </row>
    <row r="104" spans="1:10" s="9" customFormat="1">
      <c r="A104" s="10"/>
      <c r="I104" s="131"/>
      <c r="J104" s="131"/>
    </row>
    <row r="105" spans="1:10" s="9" customFormat="1">
      <c r="A105" s="10"/>
      <c r="I105" s="131"/>
      <c r="J105" s="131"/>
    </row>
    <row r="106" spans="1:10" s="9" customFormat="1">
      <c r="A106" s="10"/>
      <c r="I106" s="131"/>
      <c r="J106" s="131"/>
    </row>
    <row r="107" spans="1:10" s="9" customFormat="1">
      <c r="A107" s="10"/>
      <c r="I107" s="131"/>
      <c r="J107" s="131"/>
    </row>
    <row r="108" spans="1:10" s="9" customFormat="1">
      <c r="A108" s="10"/>
      <c r="I108" s="131"/>
      <c r="J108" s="131"/>
    </row>
    <row r="109" spans="1:10" s="9" customFormat="1">
      <c r="A109" s="10"/>
      <c r="I109" s="131"/>
      <c r="J109" s="131"/>
    </row>
    <row r="110" spans="1:10" s="9" customFormat="1">
      <c r="A110" s="10"/>
      <c r="I110" s="131"/>
      <c r="J110" s="131"/>
    </row>
    <row r="111" spans="1:10" s="9" customFormat="1">
      <c r="A111" s="10"/>
      <c r="I111" s="131"/>
      <c r="J111" s="131"/>
    </row>
    <row r="112" spans="1:10" s="9" customFormat="1">
      <c r="A112" s="10"/>
      <c r="I112" s="131"/>
      <c r="J112" s="131"/>
    </row>
    <row r="113" spans="1:10" s="9" customFormat="1">
      <c r="A113" s="10"/>
      <c r="I113" s="131"/>
      <c r="J113" s="131"/>
    </row>
    <row r="114" spans="1:10" s="9" customFormat="1">
      <c r="A114" s="10"/>
      <c r="I114" s="131"/>
      <c r="J114" s="131"/>
    </row>
    <row r="115" spans="1:10" s="9" customFormat="1">
      <c r="A115" s="10"/>
      <c r="I115" s="131"/>
      <c r="J115" s="131"/>
    </row>
    <row r="116" spans="1:10" s="9" customFormat="1">
      <c r="A116" s="10"/>
      <c r="I116" s="131"/>
      <c r="J116" s="131"/>
    </row>
    <row r="117" spans="1:10" s="9" customFormat="1">
      <c r="A117" s="10"/>
      <c r="I117" s="131"/>
      <c r="J117" s="131"/>
    </row>
    <row r="118" spans="1:10" s="9" customFormat="1">
      <c r="A118" s="10"/>
      <c r="I118" s="131"/>
      <c r="J118" s="131"/>
    </row>
    <row r="119" spans="1:10" s="9" customFormat="1">
      <c r="A119" s="10"/>
      <c r="I119" s="131"/>
      <c r="J119" s="131"/>
    </row>
    <row r="120" spans="1:10" s="9" customFormat="1">
      <c r="A120" s="10"/>
      <c r="I120" s="131"/>
      <c r="J120" s="131"/>
    </row>
    <row r="121" spans="1:10" s="9" customFormat="1">
      <c r="A121" s="10"/>
      <c r="I121" s="131"/>
      <c r="J121" s="131"/>
    </row>
    <row r="122" spans="1:10" s="9" customFormat="1">
      <c r="A122" s="10"/>
      <c r="I122" s="131"/>
      <c r="J122" s="131"/>
    </row>
    <row r="123" spans="1:10" s="9" customFormat="1">
      <c r="A123" s="10"/>
      <c r="I123" s="131"/>
      <c r="J123" s="131"/>
    </row>
    <row r="124" spans="1:10" s="9" customFormat="1">
      <c r="A124" s="10"/>
      <c r="I124" s="131"/>
      <c r="J124" s="131"/>
    </row>
    <row r="125" spans="1:10" s="9" customFormat="1">
      <c r="A125" s="10"/>
      <c r="I125" s="131"/>
      <c r="J125" s="131"/>
    </row>
    <row r="126" spans="1:10" s="9" customFormat="1">
      <c r="A126" s="10"/>
      <c r="I126" s="131"/>
      <c r="J126" s="131"/>
    </row>
    <row r="127" spans="1:10" s="9" customFormat="1">
      <c r="A127" s="10"/>
      <c r="I127" s="131"/>
      <c r="J127" s="131"/>
    </row>
    <row r="128" spans="1:10" s="9" customFormat="1">
      <c r="A128" s="10"/>
      <c r="I128" s="131"/>
      <c r="J128" s="131"/>
    </row>
    <row r="129" spans="1:10" s="9" customFormat="1">
      <c r="A129" s="10"/>
      <c r="I129" s="131"/>
      <c r="J129" s="131"/>
    </row>
    <row r="130" spans="1:10" s="9" customFormat="1">
      <c r="A130" s="10"/>
      <c r="I130" s="131"/>
      <c r="J130" s="131"/>
    </row>
    <row r="131" spans="1:10" s="9" customFormat="1">
      <c r="A131" s="10"/>
      <c r="I131" s="131"/>
      <c r="J131" s="131"/>
    </row>
    <row r="132" spans="1:10" s="9" customFormat="1">
      <c r="A132" s="10"/>
      <c r="I132" s="131"/>
      <c r="J132" s="131"/>
    </row>
    <row r="133" spans="1:10" s="9" customFormat="1">
      <c r="A133" s="10"/>
      <c r="I133" s="131"/>
      <c r="J133" s="131"/>
    </row>
    <row r="134" spans="1:10" s="9" customFormat="1">
      <c r="A134" s="10"/>
      <c r="I134" s="131"/>
      <c r="J134" s="131"/>
    </row>
    <row r="135" spans="1:10" s="9" customFormat="1">
      <c r="A135" s="10"/>
      <c r="I135" s="131"/>
      <c r="J135" s="131"/>
    </row>
    <row r="136" spans="1:10" s="9" customFormat="1">
      <c r="A136" s="10"/>
      <c r="I136" s="131"/>
      <c r="J136" s="131"/>
    </row>
    <row r="137" spans="1:10" s="9" customFormat="1">
      <c r="A137" s="10"/>
      <c r="I137" s="131"/>
      <c r="J137" s="131"/>
    </row>
    <row r="138" spans="1:10" s="9" customFormat="1">
      <c r="A138" s="10"/>
      <c r="I138" s="131"/>
      <c r="J138" s="131"/>
    </row>
    <row r="139" spans="1:10" s="9" customFormat="1">
      <c r="A139" s="10"/>
      <c r="I139" s="131"/>
      <c r="J139" s="131"/>
    </row>
    <row r="140" spans="1:10" s="9" customFormat="1">
      <c r="A140" s="10"/>
      <c r="I140" s="131"/>
      <c r="J140" s="131"/>
    </row>
    <row r="141" spans="1:10" s="9" customFormat="1">
      <c r="A141" s="10"/>
      <c r="I141" s="131"/>
      <c r="J141" s="131"/>
    </row>
    <row r="142" spans="1:10" s="9" customFormat="1">
      <c r="A142" s="10"/>
      <c r="I142" s="131"/>
      <c r="J142" s="131"/>
    </row>
    <row r="143" spans="1:10" s="9" customFormat="1">
      <c r="A143" s="10"/>
      <c r="I143" s="131"/>
      <c r="J143" s="131"/>
    </row>
    <row r="144" spans="1:10" s="9" customFormat="1">
      <c r="A144" s="10"/>
      <c r="I144" s="131"/>
      <c r="J144" s="131"/>
    </row>
    <row r="145" spans="1:10" s="9" customFormat="1">
      <c r="A145" s="10"/>
      <c r="I145" s="131"/>
      <c r="J145" s="131"/>
    </row>
    <row r="146" spans="1:10" s="9" customFormat="1">
      <c r="A146" s="10"/>
      <c r="I146" s="131"/>
      <c r="J146" s="131"/>
    </row>
    <row r="147" spans="1:10" s="9" customFormat="1">
      <c r="A147" s="10"/>
      <c r="I147" s="131"/>
      <c r="J147" s="131"/>
    </row>
    <row r="148" spans="1:10" s="9" customFormat="1">
      <c r="A148" s="10"/>
      <c r="I148" s="131"/>
      <c r="J148" s="131"/>
    </row>
    <row r="149" spans="1:10" s="9" customFormat="1">
      <c r="A149" s="10"/>
      <c r="I149" s="131"/>
      <c r="J149" s="131"/>
    </row>
    <row r="150" spans="1:10" s="9" customFormat="1">
      <c r="A150" s="10"/>
      <c r="I150" s="131"/>
      <c r="J150" s="131"/>
    </row>
    <row r="151" spans="1:10" s="9" customFormat="1">
      <c r="A151" s="10"/>
      <c r="I151" s="131"/>
      <c r="J151" s="131"/>
    </row>
    <row r="152" spans="1:10" s="9" customFormat="1">
      <c r="A152" s="10"/>
      <c r="I152" s="131"/>
      <c r="J152" s="131"/>
    </row>
    <row r="153" spans="1:10" s="9" customFormat="1">
      <c r="A153" s="10"/>
      <c r="I153" s="131"/>
      <c r="J153" s="131"/>
    </row>
    <row r="154" spans="1:10" s="9" customFormat="1">
      <c r="A154" s="10"/>
      <c r="I154" s="131"/>
      <c r="J154" s="131"/>
    </row>
    <row r="155" spans="1:10" s="9" customFormat="1">
      <c r="A155" s="10"/>
      <c r="I155" s="131"/>
      <c r="J155" s="131"/>
    </row>
    <row r="156" spans="1:10" s="9" customFormat="1">
      <c r="A156" s="10"/>
      <c r="I156" s="131"/>
      <c r="J156" s="131"/>
    </row>
    <row r="157" spans="1:10" s="9" customFormat="1">
      <c r="A157" s="10"/>
      <c r="I157" s="131"/>
      <c r="J157" s="131"/>
    </row>
    <row r="158" spans="1:10" s="9" customFormat="1">
      <c r="A158" s="10"/>
      <c r="I158" s="131"/>
      <c r="J158" s="131"/>
    </row>
    <row r="159" spans="1:10" s="9" customFormat="1">
      <c r="A159" s="10"/>
      <c r="I159" s="131"/>
      <c r="J159" s="131"/>
    </row>
    <row r="160" spans="1:10" s="9" customFormat="1">
      <c r="A160" s="10"/>
      <c r="I160" s="131"/>
      <c r="J160" s="131"/>
    </row>
    <row r="161" spans="1:10" s="9" customFormat="1">
      <c r="A161" s="10"/>
      <c r="I161" s="131"/>
      <c r="J161" s="131"/>
    </row>
    <row r="162" spans="1:10" s="9" customFormat="1">
      <c r="A162" s="10"/>
      <c r="I162" s="131"/>
      <c r="J162" s="131"/>
    </row>
    <row r="163" spans="1:10" s="9" customFormat="1">
      <c r="A163" s="10"/>
      <c r="I163" s="131"/>
      <c r="J163" s="131"/>
    </row>
    <row r="164" spans="1:10" s="9" customFormat="1">
      <c r="A164" s="10"/>
      <c r="I164" s="131"/>
      <c r="J164" s="131"/>
    </row>
    <row r="165" spans="1:10" s="9" customFormat="1">
      <c r="A165" s="10"/>
      <c r="I165" s="131"/>
      <c r="J165" s="131"/>
    </row>
    <row r="166" spans="1:10" s="9" customFormat="1">
      <c r="A166" s="10"/>
      <c r="I166" s="131"/>
      <c r="J166" s="131"/>
    </row>
    <row r="167" spans="1:10" s="9" customFormat="1">
      <c r="A167" s="10"/>
      <c r="I167" s="131"/>
      <c r="J167" s="131"/>
    </row>
    <row r="168" spans="1:10" s="9" customFormat="1">
      <c r="A168" s="10"/>
      <c r="I168" s="131"/>
      <c r="J168" s="131"/>
    </row>
    <row r="169" spans="1:10" s="9" customFormat="1">
      <c r="A169" s="10"/>
      <c r="I169" s="131"/>
      <c r="J169" s="131"/>
    </row>
    <row r="170" spans="1:10" s="9" customFormat="1">
      <c r="A170" s="10"/>
      <c r="I170" s="131"/>
      <c r="J170" s="131"/>
    </row>
    <row r="171" spans="1:10" s="9" customFormat="1">
      <c r="A171" s="10"/>
      <c r="I171" s="131"/>
      <c r="J171" s="131"/>
    </row>
    <row r="172" spans="1:10" s="9" customFormat="1">
      <c r="A172" s="10"/>
      <c r="I172" s="131"/>
      <c r="J172" s="131"/>
    </row>
    <row r="173" spans="1:10" s="9" customFormat="1">
      <c r="A173" s="10"/>
      <c r="I173" s="131"/>
      <c r="J173" s="131"/>
    </row>
    <row r="174" spans="1:10" s="9" customFormat="1">
      <c r="A174" s="10"/>
      <c r="I174" s="131"/>
      <c r="J174" s="131"/>
    </row>
    <row r="175" spans="1:10" s="9" customFormat="1">
      <c r="A175" s="10"/>
      <c r="I175" s="131"/>
      <c r="J175" s="131"/>
    </row>
    <row r="176" spans="1:10" s="9" customFormat="1">
      <c r="A176" s="10"/>
      <c r="I176" s="131"/>
      <c r="J176" s="131"/>
    </row>
    <row r="177" spans="1:10" s="9" customFormat="1">
      <c r="A177" s="10"/>
      <c r="I177" s="131"/>
      <c r="J177" s="131"/>
    </row>
    <row r="178" spans="1:10" s="9" customFormat="1">
      <c r="A178" s="10"/>
      <c r="I178" s="131"/>
      <c r="J178" s="131"/>
    </row>
    <row r="179" spans="1:10" s="9" customFormat="1">
      <c r="A179" s="10"/>
      <c r="I179" s="131"/>
      <c r="J179" s="131"/>
    </row>
    <row r="180" spans="1:10" s="9" customFormat="1">
      <c r="A180" s="10"/>
      <c r="I180" s="131"/>
      <c r="J180" s="131"/>
    </row>
    <row r="181" spans="1:10" s="9" customFormat="1">
      <c r="A181" s="10"/>
      <c r="I181" s="131"/>
      <c r="J181" s="131"/>
    </row>
    <row r="182" spans="1:10" s="9" customFormat="1">
      <c r="A182" s="10"/>
      <c r="I182" s="131"/>
      <c r="J182" s="131"/>
    </row>
    <row r="183" spans="1:10" s="9" customFormat="1">
      <c r="A183" s="10"/>
      <c r="I183" s="131"/>
      <c r="J183" s="131"/>
    </row>
    <row r="184" spans="1:10" s="9" customFormat="1">
      <c r="A184" s="10"/>
      <c r="I184" s="131"/>
      <c r="J184" s="131"/>
    </row>
    <row r="185" spans="1:10" s="9" customFormat="1">
      <c r="A185" s="10"/>
      <c r="I185" s="131"/>
      <c r="J185" s="131"/>
    </row>
    <row r="186" spans="1:10" s="9" customFormat="1">
      <c r="A186" s="10"/>
      <c r="I186" s="131"/>
      <c r="J186" s="131"/>
    </row>
    <row r="187" spans="1:10" s="9" customFormat="1">
      <c r="A187" s="10"/>
      <c r="I187" s="131"/>
      <c r="J187" s="131"/>
    </row>
    <row r="188" spans="1:10" s="9" customFormat="1">
      <c r="A188" s="10"/>
      <c r="I188" s="131"/>
      <c r="J188" s="131"/>
    </row>
    <row r="189" spans="1:10" s="9" customFormat="1">
      <c r="A189" s="10"/>
      <c r="I189" s="131"/>
      <c r="J189" s="131"/>
    </row>
    <row r="190" spans="1:10" s="9" customFormat="1">
      <c r="A190" s="10"/>
      <c r="I190" s="131"/>
      <c r="J190" s="131"/>
    </row>
    <row r="191" spans="1:10" s="9" customFormat="1">
      <c r="A191" s="10"/>
      <c r="I191" s="131"/>
      <c r="J191" s="131"/>
    </row>
    <row r="192" spans="1:10" s="9" customFormat="1">
      <c r="A192" s="10"/>
      <c r="I192" s="131"/>
      <c r="J192" s="131"/>
    </row>
    <row r="193" spans="1:10" s="9" customFormat="1">
      <c r="A193" s="10"/>
      <c r="I193" s="131"/>
      <c r="J193" s="131"/>
    </row>
    <row r="194" spans="1:10" s="9" customFormat="1">
      <c r="A194" s="10"/>
      <c r="I194" s="131"/>
      <c r="J194" s="131"/>
    </row>
    <row r="195" spans="1:10" s="9" customFormat="1">
      <c r="A195" s="10"/>
      <c r="I195" s="131"/>
      <c r="J195" s="131"/>
    </row>
    <row r="196" spans="1:10" s="9" customFormat="1">
      <c r="A196" s="10"/>
      <c r="I196" s="131"/>
      <c r="J196" s="131"/>
    </row>
    <row r="197" spans="1:10" s="9" customFormat="1">
      <c r="A197" s="10"/>
      <c r="I197" s="131"/>
      <c r="J197" s="131"/>
    </row>
    <row r="198" spans="1:10" s="9" customFormat="1">
      <c r="A198" s="10"/>
      <c r="I198" s="131"/>
      <c r="J198" s="131"/>
    </row>
  </sheetData>
  <mergeCells count="12">
    <mergeCell ref="A2:H2"/>
    <mergeCell ref="C48:D48"/>
    <mergeCell ref="F48:H48"/>
    <mergeCell ref="A7:H7"/>
    <mergeCell ref="A18:H18"/>
    <mergeCell ref="A3:H3"/>
    <mergeCell ref="A4:A5"/>
    <mergeCell ref="B4:B5"/>
    <mergeCell ref="C4:D4"/>
    <mergeCell ref="E4:H4"/>
    <mergeCell ref="A47:B47"/>
    <mergeCell ref="D47:E47"/>
  </mergeCells>
  <phoneticPr fontId="3" type="noConversion"/>
  <printOptions horizontalCentered="1"/>
  <pageMargins left="0.59055118110236215" right="0.59055118110236215" top="0.98425196850393704" bottom="0.47" header="0.31496062992125984" footer="0.19685039370078741"/>
  <pageSetup paperSize="9" scale="66" fitToHeight="0" orientation="landscape" blackAndWhite="1" verticalDpi="300" r:id="rId1"/>
  <headerFooter alignWithMargins="0"/>
  <rowBreaks count="1" manualBreakCount="1">
    <brk id="27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71"/>
  <sheetViews>
    <sheetView zoomScale="60" zoomScaleNormal="60" zoomScaleSheetLayoutView="75" workbookViewId="0">
      <selection activeCell="B1" sqref="B1:D1048576"/>
    </sheetView>
  </sheetViews>
  <sheetFormatPr defaultColWidth="9.109375" defaultRowHeight="18"/>
  <cols>
    <col min="1" max="1" width="88" style="115" customWidth="1"/>
    <col min="2" max="2" width="15" style="115" customWidth="1"/>
    <col min="3" max="7" width="20.44140625" style="115" customWidth="1"/>
    <col min="8" max="8" width="18.44140625" style="115" customWidth="1"/>
    <col min="9" max="16384" width="9.109375" style="115"/>
  </cols>
  <sheetData>
    <row r="1" spans="1:8" ht="20.399999999999999">
      <c r="H1" s="76" t="s">
        <v>344</v>
      </c>
    </row>
    <row r="2" spans="1:8" ht="22.8">
      <c r="A2" s="471" t="s">
        <v>222</v>
      </c>
      <c r="B2" s="471"/>
      <c r="C2" s="471"/>
      <c r="D2" s="471"/>
      <c r="E2" s="471"/>
      <c r="F2" s="471"/>
      <c r="G2" s="471"/>
      <c r="H2" s="471"/>
    </row>
    <row r="3" spans="1:8">
      <c r="A3" s="22"/>
      <c r="B3" s="22"/>
      <c r="C3" s="22"/>
      <c r="D3" s="22"/>
      <c r="E3" s="145"/>
      <c r="F3" s="22"/>
      <c r="G3" s="22"/>
      <c r="H3" s="22" t="s">
        <v>435</v>
      </c>
    </row>
    <row r="4" spans="1:8" ht="59.25" customHeight="1">
      <c r="A4" s="469" t="s">
        <v>153</v>
      </c>
      <c r="B4" s="501" t="s">
        <v>0</v>
      </c>
      <c r="C4" s="469" t="s">
        <v>277</v>
      </c>
      <c r="D4" s="469"/>
      <c r="E4" s="478" t="s">
        <v>427</v>
      </c>
      <c r="F4" s="478"/>
      <c r="G4" s="478"/>
      <c r="H4" s="478"/>
    </row>
    <row r="5" spans="1:8" ht="56.25" customHeight="1">
      <c r="A5" s="469"/>
      <c r="B5" s="501"/>
      <c r="C5" s="257" t="s">
        <v>437</v>
      </c>
      <c r="D5" s="257" t="s">
        <v>433</v>
      </c>
      <c r="E5" s="257" t="s">
        <v>144</v>
      </c>
      <c r="F5" s="257" t="s">
        <v>140</v>
      </c>
      <c r="G5" s="113" t="s">
        <v>150</v>
      </c>
      <c r="H5" s="113" t="s">
        <v>151</v>
      </c>
    </row>
    <row r="6" spans="1:8" ht="22.5" customHeight="1">
      <c r="A6" s="113">
        <v>1</v>
      </c>
      <c r="B6" s="279">
        <v>2</v>
      </c>
      <c r="C6" s="113">
        <v>3</v>
      </c>
      <c r="D6" s="279">
        <v>4</v>
      </c>
      <c r="E6" s="113">
        <v>5</v>
      </c>
      <c r="F6" s="279">
        <v>6</v>
      </c>
      <c r="G6" s="113">
        <v>7</v>
      </c>
      <c r="H6" s="279">
        <v>8</v>
      </c>
    </row>
    <row r="7" spans="1:8" ht="27.75" customHeight="1">
      <c r="A7" s="53" t="s">
        <v>233</v>
      </c>
      <c r="B7" s="55"/>
      <c r="C7" s="55"/>
      <c r="D7" s="55"/>
      <c r="E7" s="55"/>
      <c r="F7" s="55"/>
      <c r="G7" s="55"/>
      <c r="H7" s="56"/>
    </row>
    <row r="8" spans="1:8" s="135" customFormat="1" ht="30" customHeight="1">
      <c r="A8" s="57" t="s">
        <v>208</v>
      </c>
      <c r="B8" s="58">
        <v>3000</v>
      </c>
      <c r="C8" s="340">
        <f>SUM(C9:C10,C12:C17)</f>
        <v>602728.70000000007</v>
      </c>
      <c r="D8" s="44">
        <v>694863</v>
      </c>
      <c r="E8" s="340">
        <f t="shared" ref="E8" si="0">SUM(E9:E10,E12:E17)</f>
        <v>1043930.1</v>
      </c>
      <c r="F8" s="44">
        <f>SUM(F9:F10,F12:F17)</f>
        <v>694863</v>
      </c>
      <c r="G8" s="219">
        <f t="shared" ref="G8" si="1">IF(F8="(    )",0,F8)-IF(E8="(    )",0,E8)</f>
        <v>-349067.1</v>
      </c>
      <c r="H8" s="89">
        <f t="shared" ref="H8" si="2">IF(IF(E8="(    )",0,E8)=0,0,IF(F8="(    )",0,F8)/IF(E8="(    )",0,E8))*100</f>
        <v>66.562215228778257</v>
      </c>
    </row>
    <row r="9" spans="1:8" ht="27.75" customHeight="1">
      <c r="A9" s="277" t="s">
        <v>307</v>
      </c>
      <c r="B9" s="46">
        <v>3010</v>
      </c>
      <c r="C9" s="341">
        <v>169780</v>
      </c>
      <c r="D9" s="47">
        <v>113132</v>
      </c>
      <c r="E9" s="341">
        <v>266000.40000000002</v>
      </c>
      <c r="F9" s="47">
        <f>D9</f>
        <v>113132</v>
      </c>
      <c r="G9" s="220">
        <f>IF(F9="(    )",0,F9)-IF(E9="(    )",0,E9)</f>
        <v>-152868.40000000002</v>
      </c>
      <c r="H9" s="93">
        <f>IF(IF(E9="(    )",0,E9)=0,0,IF(F9="(    )",0,F9)/IF(E9="(    )",0,E9))*100</f>
        <v>42.530763111634414</v>
      </c>
    </row>
    <row r="10" spans="1:8" ht="27.75" customHeight="1">
      <c r="A10" s="277" t="s">
        <v>223</v>
      </c>
      <c r="B10" s="46">
        <v>3020</v>
      </c>
      <c r="C10" s="341"/>
      <c r="D10" s="47"/>
      <c r="E10" s="341"/>
      <c r="F10" s="47"/>
      <c r="G10" s="220">
        <f t="shared" ref="G10:G68" si="3">IF(F10="(    )",0,F10)-IF(E10="(    )",0,E10)</f>
        <v>0</v>
      </c>
      <c r="H10" s="93">
        <f t="shared" ref="H10:H66" si="4">IF(IF(E10="(    )",0,E10)=0,0,IF(F10="(    )",0,F10)/IF(E10="(    )",0,E10))*100</f>
        <v>0</v>
      </c>
    </row>
    <row r="11" spans="1:8" ht="27.75" customHeight="1">
      <c r="A11" s="277" t="s">
        <v>224</v>
      </c>
      <c r="B11" s="46">
        <v>3021</v>
      </c>
      <c r="C11" s="341"/>
      <c r="D11" s="47"/>
      <c r="E11" s="341"/>
      <c r="F11" s="47"/>
      <c r="G11" s="220">
        <f t="shared" si="3"/>
        <v>0</v>
      </c>
      <c r="H11" s="93">
        <f t="shared" si="4"/>
        <v>0</v>
      </c>
    </row>
    <row r="12" spans="1:8" ht="27.75" customHeight="1">
      <c r="A12" s="277" t="s">
        <v>306</v>
      </c>
      <c r="B12" s="46">
        <v>3030</v>
      </c>
      <c r="C12" s="341">
        <f>'Розшифровка до Руху'!D8</f>
        <v>425954.3</v>
      </c>
      <c r="D12" s="47">
        <f>'Розшифровка до Руху'!F8</f>
        <v>572386</v>
      </c>
      <c r="E12" s="341">
        <f>'Розшифровка до Руху'!E8</f>
        <v>772051.7</v>
      </c>
      <c r="F12" s="47">
        <f>'Розшифровка до Руху'!F8</f>
        <v>572386</v>
      </c>
      <c r="G12" s="220">
        <f t="shared" si="3"/>
        <v>-199665.69999999995</v>
      </c>
      <c r="H12" s="93">
        <f t="shared" si="4"/>
        <v>74.138299287470005</v>
      </c>
    </row>
    <row r="13" spans="1:8" ht="27.75" customHeight="1">
      <c r="A13" s="277" t="s">
        <v>410</v>
      </c>
      <c r="B13" s="46">
        <v>3040</v>
      </c>
      <c r="C13" s="341"/>
      <c r="D13" s="47"/>
      <c r="E13" s="341"/>
      <c r="F13" s="47"/>
      <c r="G13" s="220">
        <f t="shared" si="3"/>
        <v>0</v>
      </c>
      <c r="H13" s="93">
        <f t="shared" si="4"/>
        <v>0</v>
      </c>
    </row>
    <row r="14" spans="1:8" ht="27.75" customHeight="1">
      <c r="A14" s="277" t="s">
        <v>209</v>
      </c>
      <c r="B14" s="46">
        <v>3050</v>
      </c>
      <c r="C14" s="341">
        <v>22</v>
      </c>
      <c r="D14" s="47">
        <v>72</v>
      </c>
      <c r="E14" s="341">
        <v>20</v>
      </c>
      <c r="F14" s="47">
        <f>D14</f>
        <v>72</v>
      </c>
      <c r="G14" s="220">
        <f t="shared" si="3"/>
        <v>52</v>
      </c>
      <c r="H14" s="93">
        <f t="shared" si="4"/>
        <v>360</v>
      </c>
    </row>
    <row r="15" spans="1:8" ht="27.75" customHeight="1">
      <c r="A15" s="277" t="s">
        <v>450</v>
      </c>
      <c r="B15" s="46">
        <v>3060</v>
      </c>
      <c r="C15" s="341">
        <v>16</v>
      </c>
      <c r="D15" s="47">
        <v>22</v>
      </c>
      <c r="E15" s="341">
        <v>8</v>
      </c>
      <c r="F15" s="47">
        <f t="shared" ref="F15:F16" si="5">D15</f>
        <v>22</v>
      </c>
      <c r="G15" s="220">
        <f t="shared" si="3"/>
        <v>14</v>
      </c>
      <c r="H15" s="93">
        <f t="shared" si="4"/>
        <v>275</v>
      </c>
    </row>
    <row r="16" spans="1:8" ht="46.5" customHeight="1">
      <c r="A16" s="277" t="s">
        <v>366</v>
      </c>
      <c r="B16" s="46">
        <v>3070</v>
      </c>
      <c r="C16" s="341">
        <v>43</v>
      </c>
      <c r="D16" s="47">
        <v>1850</v>
      </c>
      <c r="E16" s="341">
        <v>60</v>
      </c>
      <c r="F16" s="47">
        <f t="shared" si="5"/>
        <v>1850</v>
      </c>
      <c r="G16" s="220">
        <f t="shared" si="3"/>
        <v>1790</v>
      </c>
      <c r="H16" s="93">
        <f t="shared" si="4"/>
        <v>3083.333333333333</v>
      </c>
    </row>
    <row r="17" spans="1:8" ht="31.5" customHeight="1">
      <c r="A17" s="277" t="s">
        <v>308</v>
      </c>
      <c r="B17" s="46">
        <v>3080</v>
      </c>
      <c r="C17" s="341">
        <f>'Розшифровка до Руху'!D24</f>
        <v>6913.4</v>
      </c>
      <c r="D17" s="47">
        <f>'Розшифровка до Руху'!F24</f>
        <v>7401</v>
      </c>
      <c r="E17" s="341">
        <f>'Розшифровка до Руху'!E24</f>
        <v>5790</v>
      </c>
      <c r="F17" s="47">
        <f>D17</f>
        <v>7401</v>
      </c>
      <c r="G17" s="220">
        <f t="shared" si="3"/>
        <v>1611</v>
      </c>
      <c r="H17" s="93">
        <f t="shared" si="4"/>
        <v>127.82383419689118</v>
      </c>
    </row>
    <row r="18" spans="1:8" s="135" customFormat="1" ht="30" customHeight="1">
      <c r="A18" s="57" t="s">
        <v>217</v>
      </c>
      <c r="B18" s="58">
        <v>3100</v>
      </c>
      <c r="C18" s="356">
        <f>SUM(C19:C21,C32:C33)</f>
        <v>-592375</v>
      </c>
      <c r="D18" s="44">
        <f t="shared" ref="D18:F18" si="6">SUM(D19:D21,D32:D33)</f>
        <v>-666565</v>
      </c>
      <c r="E18" s="340">
        <f t="shared" si="6"/>
        <v>-1019173.6</v>
      </c>
      <c r="F18" s="44">
        <f t="shared" si="6"/>
        <v>-666565</v>
      </c>
      <c r="G18" s="219">
        <f t="shared" si="3"/>
        <v>352608.6</v>
      </c>
      <c r="H18" s="89">
        <f t="shared" si="4"/>
        <v>65.402498651848902</v>
      </c>
    </row>
    <row r="19" spans="1:8" ht="27.75" customHeight="1">
      <c r="A19" s="277" t="s">
        <v>212</v>
      </c>
      <c r="B19" s="46">
        <v>3110</v>
      </c>
      <c r="C19" s="341">
        <v>-214396</v>
      </c>
      <c r="D19" s="47">
        <v>-273125</v>
      </c>
      <c r="E19" s="341">
        <v>-527159</v>
      </c>
      <c r="F19" s="47">
        <f>D19</f>
        <v>-273125</v>
      </c>
      <c r="G19" s="220">
        <f t="shared" si="3"/>
        <v>254034</v>
      </c>
      <c r="H19" s="93">
        <f t="shared" si="4"/>
        <v>51.810744007026344</v>
      </c>
    </row>
    <row r="20" spans="1:8" ht="27.75" customHeight="1">
      <c r="A20" s="277" t="s">
        <v>213</v>
      </c>
      <c r="B20" s="46">
        <v>3120</v>
      </c>
      <c r="C20" s="341">
        <v>-229891</v>
      </c>
      <c r="D20" s="47">
        <v>-233085</v>
      </c>
      <c r="E20" s="341">
        <v>-302029.90000000002</v>
      </c>
      <c r="F20" s="47">
        <f t="shared" ref="F20:F32" si="7">D20</f>
        <v>-233085</v>
      </c>
      <c r="G20" s="220">
        <f t="shared" si="3"/>
        <v>68944.900000000023</v>
      </c>
      <c r="H20" s="93">
        <f t="shared" si="4"/>
        <v>77.172822955608041</v>
      </c>
    </row>
    <row r="21" spans="1:8" ht="42" customHeight="1">
      <c r="A21" s="277" t="s">
        <v>225</v>
      </c>
      <c r="B21" s="46">
        <v>3130</v>
      </c>
      <c r="C21" s="341">
        <f>SUM(C22:C31)</f>
        <v>-115501</v>
      </c>
      <c r="D21" s="47">
        <f t="shared" ref="D21" si="8">SUM(D22:D31)</f>
        <v>-123048</v>
      </c>
      <c r="E21" s="341">
        <f>SUM(E22:E31)+1</f>
        <v>-156369.49999999997</v>
      </c>
      <c r="F21" s="47">
        <f t="shared" si="7"/>
        <v>-123048</v>
      </c>
      <c r="G21" s="220">
        <f t="shared" si="3"/>
        <v>33321.499999999971</v>
      </c>
      <c r="H21" s="93">
        <f t="shared" si="4"/>
        <v>78.690537476937649</v>
      </c>
    </row>
    <row r="22" spans="1:8" ht="27.75" customHeight="1">
      <c r="A22" s="277" t="s">
        <v>214</v>
      </c>
      <c r="B22" s="46">
        <v>3131</v>
      </c>
      <c r="C22" s="341" t="s">
        <v>185</v>
      </c>
      <c r="D22" s="47" t="s">
        <v>185</v>
      </c>
      <c r="E22" s="341" t="s">
        <v>185</v>
      </c>
      <c r="F22" s="47" t="str">
        <f t="shared" si="7"/>
        <v>(    )</v>
      </c>
      <c r="G22" s="220">
        <f t="shared" si="3"/>
        <v>0</v>
      </c>
      <c r="H22" s="93">
        <f t="shared" si="4"/>
        <v>0</v>
      </c>
    </row>
    <row r="23" spans="1:8" ht="27.75" customHeight="1">
      <c r="A23" s="277" t="s">
        <v>215</v>
      </c>
      <c r="B23" s="46">
        <v>3132</v>
      </c>
      <c r="C23" s="341">
        <v>-462</v>
      </c>
      <c r="D23" s="47">
        <v>-370</v>
      </c>
      <c r="E23" s="341">
        <v>-600</v>
      </c>
      <c r="F23" s="47">
        <f t="shared" si="7"/>
        <v>-370</v>
      </c>
      <c r="G23" s="220">
        <f t="shared" si="3"/>
        <v>230</v>
      </c>
      <c r="H23" s="93">
        <f t="shared" si="4"/>
        <v>61.666666666666671</v>
      </c>
    </row>
    <row r="24" spans="1:8" ht="27.75" customHeight="1">
      <c r="A24" s="277" t="s">
        <v>70</v>
      </c>
      <c r="B24" s="46">
        <v>3133</v>
      </c>
      <c r="C24" s="341">
        <v>-51259</v>
      </c>
      <c r="D24" s="47">
        <v>-54962</v>
      </c>
      <c r="E24" s="341">
        <v>-67534.899999999994</v>
      </c>
      <c r="F24" s="47">
        <f t="shared" si="7"/>
        <v>-54962</v>
      </c>
      <c r="G24" s="220">
        <f t="shared" si="3"/>
        <v>12572.899999999994</v>
      </c>
      <c r="H24" s="93">
        <f t="shared" si="4"/>
        <v>81.383107104622951</v>
      </c>
    </row>
    <row r="25" spans="1:8" ht="27.75" customHeight="1">
      <c r="A25" s="277" t="s">
        <v>71</v>
      </c>
      <c r="B25" s="46">
        <v>3134</v>
      </c>
      <c r="C25" s="341" t="s">
        <v>185</v>
      </c>
      <c r="D25" s="47" t="s">
        <v>185</v>
      </c>
      <c r="E25" s="341" t="s">
        <v>185</v>
      </c>
      <c r="F25" s="47" t="str">
        <f t="shared" si="7"/>
        <v>(    )</v>
      </c>
      <c r="G25" s="220">
        <f t="shared" si="3"/>
        <v>0</v>
      </c>
      <c r="H25" s="93">
        <f t="shared" si="4"/>
        <v>0</v>
      </c>
    </row>
    <row r="26" spans="1:8" ht="27.75" customHeight="1">
      <c r="A26" s="277" t="s">
        <v>288</v>
      </c>
      <c r="B26" s="46">
        <v>3135</v>
      </c>
      <c r="C26" s="341">
        <v>-10</v>
      </c>
      <c r="D26" s="47">
        <v>-7</v>
      </c>
      <c r="E26" s="341">
        <v>-11</v>
      </c>
      <c r="F26" s="47">
        <f t="shared" si="7"/>
        <v>-7</v>
      </c>
      <c r="G26" s="220">
        <f t="shared" si="3"/>
        <v>4</v>
      </c>
      <c r="H26" s="93">
        <f t="shared" si="4"/>
        <v>63.636363636363633</v>
      </c>
    </row>
    <row r="27" spans="1:8" ht="27.75" customHeight="1">
      <c r="A27" s="277" t="s">
        <v>289</v>
      </c>
      <c r="B27" s="46">
        <v>3136</v>
      </c>
      <c r="C27" s="341" t="s">
        <v>185</v>
      </c>
      <c r="D27" s="47" t="s">
        <v>185</v>
      </c>
      <c r="E27" s="341" t="s">
        <v>185</v>
      </c>
      <c r="F27" s="47" t="str">
        <f t="shared" si="7"/>
        <v>(    )</v>
      </c>
      <c r="G27" s="220">
        <f t="shared" si="3"/>
        <v>0</v>
      </c>
      <c r="H27" s="93">
        <f t="shared" si="4"/>
        <v>0</v>
      </c>
    </row>
    <row r="28" spans="1:8" ht="27.75" customHeight="1">
      <c r="A28" s="277" t="s">
        <v>294</v>
      </c>
      <c r="B28" s="46">
        <v>3137</v>
      </c>
      <c r="C28" s="341" t="s">
        <v>185</v>
      </c>
      <c r="D28" s="47" t="s">
        <v>185</v>
      </c>
      <c r="E28" s="341" t="s">
        <v>185</v>
      </c>
      <c r="F28" s="47" t="str">
        <f t="shared" si="7"/>
        <v>(    )</v>
      </c>
      <c r="G28" s="220">
        <f t="shared" si="3"/>
        <v>0</v>
      </c>
      <c r="H28" s="93">
        <f t="shared" si="4"/>
        <v>0</v>
      </c>
    </row>
    <row r="29" spans="1:8" ht="27.75" customHeight="1">
      <c r="A29" s="277" t="s">
        <v>364</v>
      </c>
      <c r="B29" s="46">
        <v>3138</v>
      </c>
      <c r="C29" s="341">
        <v>-4572</v>
      </c>
      <c r="D29" s="47">
        <v>-4524</v>
      </c>
      <c r="E29" s="341">
        <v>-5627.9</v>
      </c>
      <c r="F29" s="47">
        <f t="shared" si="7"/>
        <v>-4524</v>
      </c>
      <c r="G29" s="220">
        <f t="shared" si="3"/>
        <v>1103.8999999999996</v>
      </c>
      <c r="H29" s="93">
        <f t="shared" si="4"/>
        <v>80.385223618045814</v>
      </c>
    </row>
    <row r="30" spans="1:8" ht="45" customHeight="1">
      <c r="A30" s="277" t="s">
        <v>399</v>
      </c>
      <c r="B30" s="46">
        <v>3139</v>
      </c>
      <c r="C30" s="341">
        <v>-59156</v>
      </c>
      <c r="D30" s="47">
        <v>-63178</v>
      </c>
      <c r="E30" s="341">
        <v>-82542.399999999994</v>
      </c>
      <c r="F30" s="47">
        <f t="shared" si="7"/>
        <v>-63178</v>
      </c>
      <c r="G30" s="220">
        <f t="shared" si="3"/>
        <v>19364.399999999994</v>
      </c>
      <c r="H30" s="93">
        <f t="shared" si="4"/>
        <v>76.540056988892985</v>
      </c>
    </row>
    <row r="31" spans="1:8" ht="27.75" customHeight="1">
      <c r="A31" s="277" t="s">
        <v>438</v>
      </c>
      <c r="B31" s="46">
        <v>3140</v>
      </c>
      <c r="C31" s="341">
        <v>-42</v>
      </c>
      <c r="D31" s="47">
        <f>-'Розшифровка до Руху'!F29</f>
        <v>-7</v>
      </c>
      <c r="E31" s="341">
        <f>-'Розшифровка до Руху'!E29</f>
        <v>-54.300000000000004</v>
      </c>
      <c r="F31" s="47">
        <f t="shared" si="7"/>
        <v>-7</v>
      </c>
      <c r="G31" s="220">
        <f t="shared" si="3"/>
        <v>47.300000000000004</v>
      </c>
      <c r="H31" s="93">
        <f t="shared" si="4"/>
        <v>12.891344383057088</v>
      </c>
    </row>
    <row r="32" spans="1:8" ht="27.75" customHeight="1">
      <c r="A32" s="277" t="s">
        <v>216</v>
      </c>
      <c r="B32" s="46">
        <v>3150</v>
      </c>
      <c r="C32" s="341" t="s">
        <v>185</v>
      </c>
      <c r="D32" s="47" t="s">
        <v>185</v>
      </c>
      <c r="E32" s="341" t="s">
        <v>185</v>
      </c>
      <c r="F32" s="47" t="str">
        <f t="shared" si="7"/>
        <v>(    )</v>
      </c>
      <c r="G32" s="220">
        <f t="shared" si="3"/>
        <v>0</v>
      </c>
      <c r="H32" s="93">
        <f t="shared" si="4"/>
        <v>0</v>
      </c>
    </row>
    <row r="33" spans="1:8" ht="27.75" customHeight="1">
      <c r="A33" s="277" t="s">
        <v>305</v>
      </c>
      <c r="B33" s="46">
        <v>3160</v>
      </c>
      <c r="C33" s="341">
        <f>-'Розшифровка до Руху'!D33</f>
        <v>-32587</v>
      </c>
      <c r="D33" s="47">
        <f>-'Розшифровка до Руху'!F33</f>
        <v>-37307</v>
      </c>
      <c r="E33" s="341">
        <f>-'Розшифровка до Руху'!E33</f>
        <v>-33615.199999999997</v>
      </c>
      <c r="F33" s="47">
        <f>D33</f>
        <v>-37307</v>
      </c>
      <c r="G33" s="220">
        <f t="shared" si="3"/>
        <v>-3691.8000000000029</v>
      </c>
      <c r="H33" s="93">
        <f t="shared" si="4"/>
        <v>110.98253171184464</v>
      </c>
    </row>
    <row r="34" spans="1:8" s="135" customFormat="1" ht="30" customHeight="1">
      <c r="A34" s="57" t="s">
        <v>230</v>
      </c>
      <c r="B34" s="58">
        <v>3195</v>
      </c>
      <c r="C34" s="357">
        <f>ROUNDUP(SUM(C8,C18),0)</f>
        <v>10354</v>
      </c>
      <c r="D34" s="44">
        <f t="shared" ref="D34:F34" si="9">SUM(D8,D18)</f>
        <v>28298</v>
      </c>
      <c r="E34" s="340">
        <f>SUM(E8,E18)-1</f>
        <v>24755.5</v>
      </c>
      <c r="F34" s="44">
        <f t="shared" si="9"/>
        <v>28298</v>
      </c>
      <c r="G34" s="219">
        <f t="shared" si="3"/>
        <v>3542.5</v>
      </c>
      <c r="H34" s="89">
        <f t="shared" si="4"/>
        <v>114.30995132394821</v>
      </c>
    </row>
    <row r="35" spans="1:8" s="135" customFormat="1" ht="30" customHeight="1">
      <c r="A35" s="54" t="s">
        <v>234</v>
      </c>
      <c r="B35" s="58"/>
      <c r="C35" s="340"/>
      <c r="D35" s="44"/>
      <c r="E35" s="340"/>
      <c r="F35" s="44"/>
      <c r="G35" s="219"/>
      <c r="H35" s="89"/>
    </row>
    <row r="36" spans="1:8" s="135" customFormat="1" ht="30" customHeight="1">
      <c r="A36" s="57" t="s">
        <v>210</v>
      </c>
      <c r="B36" s="58">
        <v>3200</v>
      </c>
      <c r="C36" s="340">
        <f>SUM(C37:C40)</f>
        <v>0</v>
      </c>
      <c r="D36" s="44">
        <f>SUM(D37:D40)</f>
        <v>0</v>
      </c>
      <c r="E36" s="340">
        <f>SUM(E37:E40)</f>
        <v>0</v>
      </c>
      <c r="F36" s="44">
        <f>SUM(F37:F40)</f>
        <v>0</v>
      </c>
      <c r="G36" s="219">
        <f t="shared" si="3"/>
        <v>0</v>
      </c>
      <c r="H36" s="89">
        <f t="shared" si="4"/>
        <v>0</v>
      </c>
    </row>
    <row r="37" spans="1:8" ht="27.75" customHeight="1">
      <c r="A37" s="277" t="s">
        <v>226</v>
      </c>
      <c r="B37" s="46">
        <v>3210</v>
      </c>
      <c r="C37" s="341"/>
      <c r="D37" s="47"/>
      <c r="E37" s="341"/>
      <c r="F37" s="47"/>
      <c r="G37" s="220">
        <f t="shared" si="3"/>
        <v>0</v>
      </c>
      <c r="H37" s="93">
        <f t="shared" si="4"/>
        <v>0</v>
      </c>
    </row>
    <row r="38" spans="1:8" ht="27.75" customHeight="1">
      <c r="A38" s="277" t="s">
        <v>227</v>
      </c>
      <c r="B38" s="46">
        <v>3220</v>
      </c>
      <c r="C38" s="341"/>
      <c r="D38" s="47"/>
      <c r="E38" s="341"/>
      <c r="F38" s="47"/>
      <c r="G38" s="220">
        <f t="shared" si="3"/>
        <v>0</v>
      </c>
      <c r="H38" s="93">
        <f t="shared" si="4"/>
        <v>0</v>
      </c>
    </row>
    <row r="39" spans="1:8" ht="27.75" customHeight="1">
      <c r="A39" s="277" t="s">
        <v>48</v>
      </c>
      <c r="B39" s="46">
        <v>3230</v>
      </c>
      <c r="C39" s="341"/>
      <c r="D39" s="47"/>
      <c r="E39" s="341"/>
      <c r="F39" s="47"/>
      <c r="G39" s="220">
        <f t="shared" si="3"/>
        <v>0</v>
      </c>
      <c r="H39" s="93">
        <f t="shared" si="4"/>
        <v>0</v>
      </c>
    </row>
    <row r="40" spans="1:8" ht="27.75" customHeight="1">
      <c r="A40" s="277" t="s">
        <v>376</v>
      </c>
      <c r="B40" s="46">
        <v>3240</v>
      </c>
      <c r="C40" s="341">
        <f>-'Розшифровка до Руху'!D74</f>
        <v>0</v>
      </c>
      <c r="D40" s="47">
        <f>-'Розшифровка до Руху'!F74</f>
        <v>0</v>
      </c>
      <c r="E40" s="341">
        <f>-'Розшифровка до Руху'!E74</f>
        <v>0</v>
      </c>
      <c r="F40" s="47">
        <f>'Розшифровка до Руху'!F23</f>
        <v>0</v>
      </c>
      <c r="G40" s="220">
        <f t="shared" si="3"/>
        <v>0</v>
      </c>
      <c r="H40" s="93">
        <f t="shared" si="4"/>
        <v>0</v>
      </c>
    </row>
    <row r="41" spans="1:8" s="135" customFormat="1" ht="30" customHeight="1">
      <c r="A41" s="57" t="s">
        <v>218</v>
      </c>
      <c r="B41" s="58">
        <v>3255</v>
      </c>
      <c r="C41" s="340">
        <f>ROUNDUP(SUM(C42,C44,C51),0)</f>
        <v>-65147</v>
      </c>
      <c r="D41" s="44">
        <f t="shared" ref="D41:F41" si="10">SUM(D42,D44,D51)</f>
        <v>-100117</v>
      </c>
      <c r="E41" s="340">
        <f t="shared" si="10"/>
        <v>-126612.70000000001</v>
      </c>
      <c r="F41" s="44">
        <f t="shared" si="10"/>
        <v>-100117</v>
      </c>
      <c r="G41" s="219">
        <f t="shared" si="3"/>
        <v>26495.700000000012</v>
      </c>
      <c r="H41" s="89">
        <f t="shared" si="4"/>
        <v>79.073426283461288</v>
      </c>
    </row>
    <row r="42" spans="1:8" s="135" customFormat="1" ht="30" customHeight="1">
      <c r="A42" s="52" t="s">
        <v>367</v>
      </c>
      <c r="B42" s="59">
        <v>3260</v>
      </c>
      <c r="C42" s="341">
        <f>SUM(C43:C43)</f>
        <v>0</v>
      </c>
      <c r="D42" s="47">
        <f t="shared" ref="D42:F42" si="11">SUM(D43:D43)</f>
        <v>0</v>
      </c>
      <c r="E42" s="341">
        <f t="shared" si="11"/>
        <v>0</v>
      </c>
      <c r="F42" s="47">
        <f t="shared" si="11"/>
        <v>0</v>
      </c>
      <c r="G42" s="220">
        <f t="shared" si="3"/>
        <v>0</v>
      </c>
      <c r="H42" s="93">
        <f t="shared" si="4"/>
        <v>0</v>
      </c>
    </row>
    <row r="43" spans="1:8" s="135" customFormat="1" ht="30" customHeight="1">
      <c r="A43" s="52" t="s">
        <v>368</v>
      </c>
      <c r="B43" s="59">
        <v>3261</v>
      </c>
      <c r="C43" s="341" t="s">
        <v>185</v>
      </c>
      <c r="D43" s="47" t="s">
        <v>185</v>
      </c>
      <c r="E43" s="341" t="s">
        <v>185</v>
      </c>
      <c r="F43" s="47" t="s">
        <v>185</v>
      </c>
      <c r="G43" s="220">
        <f t="shared" si="3"/>
        <v>0</v>
      </c>
      <c r="H43" s="93">
        <f t="shared" si="4"/>
        <v>0</v>
      </c>
    </row>
    <row r="44" spans="1:8" s="135" customFormat="1" ht="30" customHeight="1">
      <c r="A44" s="52" t="s">
        <v>369</v>
      </c>
      <c r="B44" s="59">
        <v>3270</v>
      </c>
      <c r="C44" s="341">
        <f>ROUNDUP(SUM(C45:C50),0)</f>
        <v>-65147</v>
      </c>
      <c r="D44" s="47">
        <f t="shared" ref="D44:E44" si="12">SUM(D45:D50)</f>
        <v>-100117</v>
      </c>
      <c r="E44" s="341">
        <f t="shared" si="12"/>
        <v>-126612.70000000001</v>
      </c>
      <c r="F44" s="47">
        <f>D44</f>
        <v>-100117</v>
      </c>
      <c r="G44" s="220">
        <f t="shared" si="3"/>
        <v>26495.700000000012</v>
      </c>
      <c r="H44" s="93">
        <f t="shared" si="4"/>
        <v>79.073426283461288</v>
      </c>
    </row>
    <row r="45" spans="1:8" s="135" customFormat="1" ht="30" customHeight="1">
      <c r="A45" s="52" t="s">
        <v>377</v>
      </c>
      <c r="B45" s="59">
        <v>3271</v>
      </c>
      <c r="C45" s="341">
        <f>-'Розшифровка до Руху'!D77</f>
        <v>0</v>
      </c>
      <c r="D45" s="47">
        <f>-'Розшифровка до Руху'!F77</f>
        <v>0</v>
      </c>
      <c r="E45" s="341">
        <f>-'Розшифровка до Руху'!E77</f>
        <v>0</v>
      </c>
      <c r="F45" s="47">
        <f t="shared" ref="F45:F50" si="13">D45</f>
        <v>0</v>
      </c>
      <c r="G45" s="220">
        <f t="shared" si="3"/>
        <v>0</v>
      </c>
      <c r="H45" s="93">
        <f t="shared" si="4"/>
        <v>0</v>
      </c>
    </row>
    <row r="46" spans="1:8" ht="27.75" customHeight="1">
      <c r="A46" s="277" t="s">
        <v>406</v>
      </c>
      <c r="B46" s="46">
        <v>3272</v>
      </c>
      <c r="C46" s="341">
        <f>-'Розшифровка до Руху'!D79</f>
        <v>-32160.799999999999</v>
      </c>
      <c r="D46" s="47">
        <f>-'Розшифровка до Руху'!F79</f>
        <v>-24528</v>
      </c>
      <c r="E46" s="341">
        <f>-'Розшифровка до Руху'!E79</f>
        <v>-33335.9</v>
      </c>
      <c r="F46" s="47">
        <f t="shared" si="13"/>
        <v>-24528</v>
      </c>
      <c r="G46" s="220">
        <f t="shared" si="3"/>
        <v>8807.9000000000015</v>
      </c>
      <c r="H46" s="93">
        <f t="shared" si="4"/>
        <v>73.578334468245941</v>
      </c>
    </row>
    <row r="47" spans="1:8" ht="41.1" customHeight="1">
      <c r="A47" s="277" t="s">
        <v>28</v>
      </c>
      <c r="B47" s="46">
        <v>3273</v>
      </c>
      <c r="C47" s="341"/>
      <c r="D47" s="47"/>
      <c r="E47" s="341"/>
      <c r="F47" s="47">
        <f t="shared" si="13"/>
        <v>0</v>
      </c>
      <c r="G47" s="220">
        <f t="shared" si="3"/>
        <v>0</v>
      </c>
      <c r="H47" s="93">
        <f t="shared" si="4"/>
        <v>0</v>
      </c>
    </row>
    <row r="48" spans="1:8" ht="27.75" customHeight="1">
      <c r="A48" s="277" t="s">
        <v>378</v>
      </c>
      <c r="B48" s="46">
        <v>3274</v>
      </c>
      <c r="C48" s="341">
        <f>-'Розшифровка до Руху'!D93</f>
        <v>-4</v>
      </c>
      <c r="D48" s="47">
        <f>-'Розшифровка до Руху'!F93</f>
        <v>-5</v>
      </c>
      <c r="E48" s="341">
        <f>-'Розшифровка до Руху'!E93</f>
        <v>-20</v>
      </c>
      <c r="F48" s="47">
        <f t="shared" si="13"/>
        <v>-5</v>
      </c>
      <c r="G48" s="220">
        <f t="shared" si="3"/>
        <v>15</v>
      </c>
      <c r="H48" s="93">
        <f t="shared" si="4"/>
        <v>25</v>
      </c>
    </row>
    <row r="49" spans="1:8" ht="42.75" customHeight="1">
      <c r="A49" s="277" t="s">
        <v>370</v>
      </c>
      <c r="B49" s="46">
        <v>3275</v>
      </c>
      <c r="C49" s="341">
        <f>-'Розшифровка до Руху'!D95</f>
        <v>-32981.5</v>
      </c>
      <c r="D49" s="47">
        <f>-'Розшифровка до Руху'!F95</f>
        <v>-75584</v>
      </c>
      <c r="E49" s="341">
        <f>-'Розшифровка до Руху'!E95</f>
        <v>-80678.7</v>
      </c>
      <c r="F49" s="47">
        <f t="shared" si="13"/>
        <v>-75584</v>
      </c>
      <c r="G49" s="220">
        <f t="shared" si="3"/>
        <v>5094.6999999999971</v>
      </c>
      <c r="H49" s="93">
        <f t="shared" si="4"/>
        <v>93.685198199772685</v>
      </c>
    </row>
    <row r="50" spans="1:8" ht="27.75" customHeight="1">
      <c r="A50" s="277" t="s">
        <v>371</v>
      </c>
      <c r="B50" s="46">
        <v>3276</v>
      </c>
      <c r="C50" s="341">
        <f>-'Розшифровка до Руху'!D101</f>
        <v>0</v>
      </c>
      <c r="D50" s="47">
        <f>-'Розшифровка до Руху'!F101</f>
        <v>0</v>
      </c>
      <c r="E50" s="341">
        <f>-'Розшифровка до Руху'!E101</f>
        <v>-12578.1</v>
      </c>
      <c r="F50" s="47">
        <f t="shared" si="13"/>
        <v>0</v>
      </c>
      <c r="G50" s="220">
        <f t="shared" si="3"/>
        <v>12578.1</v>
      </c>
      <c r="H50" s="93">
        <f t="shared" si="4"/>
        <v>0</v>
      </c>
    </row>
    <row r="51" spans="1:8" ht="27.75" customHeight="1">
      <c r="A51" s="277" t="s">
        <v>305</v>
      </c>
      <c r="B51" s="46">
        <v>3280</v>
      </c>
      <c r="C51" s="47"/>
      <c r="D51" s="47"/>
      <c r="E51" s="341"/>
      <c r="F51" s="47"/>
      <c r="G51" s="220">
        <f t="shared" si="3"/>
        <v>0</v>
      </c>
      <c r="H51" s="93">
        <f t="shared" si="4"/>
        <v>0</v>
      </c>
    </row>
    <row r="52" spans="1:8" s="135" customFormat="1" ht="30" customHeight="1">
      <c r="A52" s="57" t="s">
        <v>104</v>
      </c>
      <c r="B52" s="58">
        <v>3295</v>
      </c>
      <c r="C52" s="340">
        <f>SUM(C36,C41)</f>
        <v>-65147</v>
      </c>
      <c r="D52" s="44">
        <f t="shared" ref="D52:F52" si="14">SUM(D36,D41)</f>
        <v>-100117</v>
      </c>
      <c r="E52" s="340">
        <f t="shared" si="14"/>
        <v>-126612.70000000001</v>
      </c>
      <c r="F52" s="44">
        <f t="shared" si="14"/>
        <v>-100117</v>
      </c>
      <c r="G52" s="219">
        <f t="shared" si="3"/>
        <v>26495.700000000012</v>
      </c>
      <c r="H52" s="89">
        <f t="shared" si="4"/>
        <v>79.073426283461288</v>
      </c>
    </row>
    <row r="53" spans="1:8" s="135" customFormat="1" ht="30" customHeight="1">
      <c r="A53" s="54" t="s">
        <v>235</v>
      </c>
      <c r="B53" s="58"/>
      <c r="C53" s="341"/>
      <c r="D53" s="47"/>
      <c r="E53" s="341"/>
      <c r="F53" s="47"/>
      <c r="G53" s="219"/>
      <c r="H53" s="89"/>
    </row>
    <row r="54" spans="1:8" s="135" customFormat="1" ht="30" customHeight="1">
      <c r="A54" s="57" t="s">
        <v>211</v>
      </c>
      <c r="B54" s="58">
        <v>3300</v>
      </c>
      <c r="C54" s="340">
        <f>SUM(C55:C57)</f>
        <v>115642.8</v>
      </c>
      <c r="D54" s="44">
        <f t="shared" ref="D54:F54" si="15">SUM(D55:D57)</f>
        <v>192115</v>
      </c>
      <c r="E54" s="340">
        <f t="shared" si="15"/>
        <v>190277</v>
      </c>
      <c r="F54" s="44">
        <f t="shared" si="15"/>
        <v>192115</v>
      </c>
      <c r="G54" s="219">
        <f t="shared" si="3"/>
        <v>1838</v>
      </c>
      <c r="H54" s="89">
        <f t="shared" si="4"/>
        <v>100.96596015282981</v>
      </c>
    </row>
    <row r="55" spans="1:8" ht="27.75" customHeight="1">
      <c r="A55" s="277" t="s">
        <v>228</v>
      </c>
      <c r="B55" s="46">
        <v>3310</v>
      </c>
      <c r="C55" s="341">
        <f>'VII Статутн. капіт'!C9</f>
        <v>74493.8</v>
      </c>
      <c r="D55" s="47">
        <f>'VII Статутн. капіт'!D9</f>
        <v>189997</v>
      </c>
      <c r="E55" s="341">
        <f>'Розшифровка до Статутного'!D6</f>
        <v>189997</v>
      </c>
      <c r="F55" s="47">
        <f>'VII Статутн. капіт'!F9</f>
        <v>189997</v>
      </c>
      <c r="G55" s="220">
        <f t="shared" si="3"/>
        <v>0</v>
      </c>
      <c r="H55" s="93">
        <f t="shared" si="4"/>
        <v>100</v>
      </c>
    </row>
    <row r="56" spans="1:8" ht="27.75" customHeight="1">
      <c r="A56" s="277" t="s">
        <v>372</v>
      </c>
      <c r="B56" s="46">
        <v>3320</v>
      </c>
      <c r="C56" s="341">
        <v>41000</v>
      </c>
      <c r="D56" s="47">
        <v>1383</v>
      </c>
      <c r="E56" s="341"/>
      <c r="F56" s="47">
        <f>D56</f>
        <v>1383</v>
      </c>
      <c r="G56" s="220">
        <f t="shared" si="3"/>
        <v>1383</v>
      </c>
      <c r="H56" s="93">
        <f t="shared" si="4"/>
        <v>0</v>
      </c>
    </row>
    <row r="57" spans="1:8" ht="27.75" customHeight="1">
      <c r="A57" s="277" t="s">
        <v>376</v>
      </c>
      <c r="B57" s="46">
        <v>3330</v>
      </c>
      <c r="C57" s="341">
        <f>'Розшифровка до Руху'!D110</f>
        <v>149</v>
      </c>
      <c r="D57" s="47">
        <f>'Розшифровка до Руху'!F110</f>
        <v>735</v>
      </c>
      <c r="E57" s="341">
        <f>'Розшифровка до Руху'!E110</f>
        <v>280</v>
      </c>
      <c r="F57" s="47">
        <f>D57</f>
        <v>735</v>
      </c>
      <c r="G57" s="220">
        <f t="shared" si="3"/>
        <v>455</v>
      </c>
      <c r="H57" s="93">
        <f t="shared" si="4"/>
        <v>262.5</v>
      </c>
    </row>
    <row r="58" spans="1:8" s="135" customFormat="1" ht="30" customHeight="1">
      <c r="A58" s="57" t="s">
        <v>219</v>
      </c>
      <c r="B58" s="58">
        <v>3345</v>
      </c>
      <c r="C58" s="340">
        <f>SUM(C59:C63)</f>
        <v>-58061.599999999999</v>
      </c>
      <c r="D58" s="44">
        <f>SUM(D59:D63)</f>
        <v>-88864</v>
      </c>
      <c r="E58" s="340">
        <f>SUM(E59:E63)</f>
        <v>-88420.1</v>
      </c>
      <c r="F58" s="44">
        <f>SUM(F59:F63)</f>
        <v>-88864</v>
      </c>
      <c r="G58" s="219">
        <f t="shared" si="3"/>
        <v>-443.89999999999418</v>
      </c>
      <c r="H58" s="89">
        <f t="shared" si="4"/>
        <v>100.50203517073606</v>
      </c>
    </row>
    <row r="59" spans="1:8" ht="27.75" customHeight="1">
      <c r="A59" s="277" t="s">
        <v>229</v>
      </c>
      <c r="B59" s="46">
        <v>3350</v>
      </c>
      <c r="C59" s="341" t="s">
        <v>185</v>
      </c>
      <c r="D59" s="47" t="s">
        <v>185</v>
      </c>
      <c r="E59" s="341" t="s">
        <v>185</v>
      </c>
      <c r="F59" s="47" t="s">
        <v>185</v>
      </c>
      <c r="G59" s="220">
        <f t="shared" si="3"/>
        <v>0</v>
      </c>
      <c r="H59" s="93">
        <f t="shared" si="4"/>
        <v>0</v>
      </c>
    </row>
    <row r="60" spans="1:8" ht="27.75" customHeight="1">
      <c r="A60" s="277" t="s">
        <v>373</v>
      </c>
      <c r="B60" s="46">
        <v>3360</v>
      </c>
      <c r="C60" s="341">
        <v>-54073.599999999999</v>
      </c>
      <c r="D60" s="47">
        <v>-81754</v>
      </c>
      <c r="E60" s="341">
        <v>-81523.8</v>
      </c>
      <c r="F60" s="47">
        <f>D60</f>
        <v>-81754</v>
      </c>
      <c r="G60" s="220">
        <f t="shared" si="3"/>
        <v>-230.19999999999709</v>
      </c>
      <c r="H60" s="93">
        <f t="shared" si="4"/>
        <v>100.28237152831443</v>
      </c>
    </row>
    <row r="61" spans="1:8" ht="27.75" customHeight="1">
      <c r="A61" s="277" t="s">
        <v>374</v>
      </c>
      <c r="B61" s="46">
        <v>3370</v>
      </c>
      <c r="C61" s="341" t="s">
        <v>185</v>
      </c>
      <c r="D61" s="47" t="s">
        <v>185</v>
      </c>
      <c r="E61" s="341" t="s">
        <v>185</v>
      </c>
      <c r="F61" s="47" t="str">
        <f t="shared" ref="F61:F63" si="16">D61</f>
        <v>(    )</v>
      </c>
      <c r="G61" s="220">
        <f t="shared" si="3"/>
        <v>0</v>
      </c>
      <c r="H61" s="93">
        <f t="shared" si="4"/>
        <v>0</v>
      </c>
    </row>
    <row r="62" spans="1:8" ht="48" customHeight="1">
      <c r="A62" s="277" t="s">
        <v>375</v>
      </c>
      <c r="B62" s="46">
        <v>3380</v>
      </c>
      <c r="C62" s="341" t="s">
        <v>185</v>
      </c>
      <c r="D62" s="47" t="s">
        <v>185</v>
      </c>
      <c r="E62" s="341" t="s">
        <v>185</v>
      </c>
      <c r="F62" s="47" t="str">
        <f t="shared" si="16"/>
        <v>(    )</v>
      </c>
      <c r="G62" s="220">
        <f t="shared" si="3"/>
        <v>0</v>
      </c>
      <c r="H62" s="93">
        <f t="shared" si="4"/>
        <v>0</v>
      </c>
    </row>
    <row r="63" spans="1:8" ht="31.5" customHeight="1">
      <c r="A63" s="277" t="s">
        <v>422</v>
      </c>
      <c r="B63" s="46">
        <v>3390</v>
      </c>
      <c r="C63" s="341">
        <f>-'Розшифровка до Руху'!D113</f>
        <v>-3988</v>
      </c>
      <c r="D63" s="47">
        <f>-'Розшифровка до Руху'!F113</f>
        <v>-7110</v>
      </c>
      <c r="E63" s="341">
        <f>-'Розшифровка до Руху'!E113</f>
        <v>-6896.3</v>
      </c>
      <c r="F63" s="47">
        <f t="shared" si="16"/>
        <v>-7110</v>
      </c>
      <c r="G63" s="220">
        <f t="shared" si="3"/>
        <v>-213.69999999999982</v>
      </c>
      <c r="H63" s="93">
        <f t="shared" si="4"/>
        <v>103.09876310485333</v>
      </c>
    </row>
    <row r="64" spans="1:8" s="135" customFormat="1" ht="30" customHeight="1">
      <c r="A64" s="57" t="s">
        <v>105</v>
      </c>
      <c r="B64" s="58">
        <v>3395</v>
      </c>
      <c r="C64" s="340">
        <f>SUM(C54,C58)</f>
        <v>57581.200000000004</v>
      </c>
      <c r="D64" s="44">
        <f t="shared" ref="D64:F64" si="17">SUM(D54,D58)</f>
        <v>103251</v>
      </c>
      <c r="E64" s="340">
        <f t="shared" si="17"/>
        <v>101856.9</v>
      </c>
      <c r="F64" s="44">
        <f t="shared" si="17"/>
        <v>103251</v>
      </c>
      <c r="G64" s="219">
        <f t="shared" si="3"/>
        <v>1394.1000000000058</v>
      </c>
      <c r="H64" s="89">
        <f t="shared" si="4"/>
        <v>101.36868489027253</v>
      </c>
    </row>
    <row r="65" spans="1:9" s="135" customFormat="1" ht="30" customHeight="1">
      <c r="A65" s="57" t="s">
        <v>29</v>
      </c>
      <c r="B65" s="58">
        <v>3400</v>
      </c>
      <c r="C65" s="340">
        <f>SUM(C34,C52,C64)</f>
        <v>2788.2000000000044</v>
      </c>
      <c r="D65" s="44">
        <f t="shared" ref="D65:F65" si="18">SUM(D34,D52,D64)</f>
        <v>31432</v>
      </c>
      <c r="E65" s="340">
        <f t="shared" si="18"/>
        <v>-0.3000000000174623</v>
      </c>
      <c r="F65" s="44">
        <f t="shared" si="18"/>
        <v>31432</v>
      </c>
      <c r="G65" s="219">
        <f t="shared" si="3"/>
        <v>31432.300000000017</v>
      </c>
      <c r="H65" s="89"/>
    </row>
    <row r="66" spans="1:9" ht="27.75" customHeight="1">
      <c r="A66" s="277" t="s">
        <v>236</v>
      </c>
      <c r="B66" s="46">
        <v>3405</v>
      </c>
      <c r="C66" s="341">
        <v>2051</v>
      </c>
      <c r="D66" s="47">
        <f>C68</f>
        <v>4839.2000000000044</v>
      </c>
      <c r="E66" s="341">
        <v>369.8</v>
      </c>
      <c r="F66" s="47">
        <f>C68</f>
        <v>4839.2000000000044</v>
      </c>
      <c r="G66" s="220">
        <f t="shared" si="3"/>
        <v>4469.4000000000042</v>
      </c>
      <c r="H66" s="93">
        <f t="shared" si="4"/>
        <v>1308.5992428339655</v>
      </c>
    </row>
    <row r="67" spans="1:9" ht="27.75" customHeight="1">
      <c r="A67" s="277" t="s">
        <v>107</v>
      </c>
      <c r="B67" s="46">
        <v>3410</v>
      </c>
      <c r="C67" s="341"/>
      <c r="D67" s="47"/>
      <c r="E67" s="341"/>
      <c r="F67" s="47"/>
      <c r="G67" s="220">
        <f t="shared" ref="G67" si="19">IF(F67="(    )",0,F67)-IF(E67="(    )",0,E67)</f>
        <v>0</v>
      </c>
      <c r="H67" s="93">
        <f t="shared" ref="H67" si="20">IF(IF(E67="(    )",0,E67)=0,0,IF(F67="(    )",0,F67)/IF(E67="(    )",0,E67))*100</f>
        <v>0</v>
      </c>
    </row>
    <row r="68" spans="1:9" ht="31.5" customHeight="1">
      <c r="A68" s="277" t="s">
        <v>237</v>
      </c>
      <c r="B68" s="46">
        <v>3415</v>
      </c>
      <c r="C68" s="341">
        <f>SUM(C65:C67)</f>
        <v>4839.2000000000044</v>
      </c>
      <c r="D68" s="47">
        <f t="shared" ref="D68:F68" si="21">SUM(D65:D67)</f>
        <v>36271.200000000004</v>
      </c>
      <c r="E68" s="341">
        <f>ROUNDUP(SUM(E65:E67),0)</f>
        <v>370</v>
      </c>
      <c r="F68" s="386">
        <f t="shared" si="21"/>
        <v>36271.200000000004</v>
      </c>
      <c r="G68" s="220">
        <f t="shared" si="3"/>
        <v>35901.200000000004</v>
      </c>
      <c r="H68" s="93">
        <f>IF(IF(E68="(    )",0,E68)=0,0,IF(F68="(    )",0,F68)/IF(E68="(    )",0,E68))*100</f>
        <v>9803.0270270270285</v>
      </c>
    </row>
    <row r="69" spans="1:9" s="24" customFormat="1" ht="82.2" customHeight="1">
      <c r="A69" s="60"/>
      <c r="B69" s="61"/>
      <c r="C69" s="61"/>
      <c r="D69" s="61"/>
      <c r="E69" s="61"/>
      <c r="F69" s="61"/>
      <c r="G69" s="61"/>
      <c r="H69" s="61"/>
    </row>
    <row r="70" spans="1:9" s="60" customFormat="1" ht="18" customHeight="1">
      <c r="A70" s="465" t="s">
        <v>569</v>
      </c>
      <c r="B70" s="465"/>
      <c r="C70" s="393"/>
      <c r="D70" s="466" t="s">
        <v>80</v>
      </c>
      <c r="E70" s="466"/>
      <c r="F70" s="195"/>
      <c r="G70" s="394" t="s">
        <v>570</v>
      </c>
      <c r="H70" s="399"/>
      <c r="I70" s="394"/>
    </row>
    <row r="71" spans="1:9" s="124" customFormat="1">
      <c r="A71" s="258"/>
      <c r="C71" s="452"/>
      <c r="D71" s="452"/>
      <c r="F71" s="258"/>
      <c r="G71" s="258"/>
      <c r="H71" s="258"/>
    </row>
  </sheetData>
  <mergeCells count="8">
    <mergeCell ref="C71:D71"/>
    <mergeCell ref="A2:H2"/>
    <mergeCell ref="A4:A5"/>
    <mergeCell ref="B4:B5"/>
    <mergeCell ref="C4:D4"/>
    <mergeCell ref="E4:H4"/>
    <mergeCell ref="A70:B70"/>
    <mergeCell ref="D70:E70"/>
  </mergeCells>
  <phoneticPr fontId="3" type="noConversion"/>
  <printOptions horizontalCentered="1"/>
  <pageMargins left="0.59055118110236215" right="0.59055118110236215" top="0.98425196850393704" bottom="0.59055118110236215" header="0" footer="0"/>
  <pageSetup paperSize="9" scale="61" fitToHeight="0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2:J238"/>
  <sheetViews>
    <sheetView view="pageBreakPreview" topLeftCell="A82" zoomScale="60" zoomScaleNormal="70" workbookViewId="0">
      <selection activeCell="G95" sqref="G95"/>
    </sheetView>
  </sheetViews>
  <sheetFormatPr defaultColWidth="9.109375" defaultRowHeight="18"/>
  <cols>
    <col min="1" max="1" width="9.109375" style="115"/>
    <col min="2" max="2" width="63.33203125" style="115" customWidth="1"/>
    <col min="3" max="3" width="12" style="180" customWidth="1"/>
    <col min="4" max="4" width="15.33203125" style="343" customWidth="1"/>
    <col min="5" max="5" width="16.109375" style="343" customWidth="1"/>
    <col min="6" max="6" width="16.6640625" style="180" customWidth="1"/>
    <col min="7" max="8" width="14" style="180" customWidth="1"/>
    <col min="9" max="9" width="18.109375" style="370" customWidth="1"/>
    <col min="10" max="16384" width="9.109375" style="115"/>
  </cols>
  <sheetData>
    <row r="2" spans="1:9">
      <c r="B2" s="484" t="s">
        <v>401</v>
      </c>
      <c r="C2" s="484"/>
      <c r="D2" s="484"/>
      <c r="E2" s="484"/>
      <c r="F2" s="484"/>
      <c r="G2" s="484"/>
      <c r="H2" s="484"/>
    </row>
    <row r="3" spans="1:9">
      <c r="B3" s="260"/>
      <c r="C3" s="106"/>
      <c r="D3" s="116"/>
      <c r="E3" s="31"/>
      <c r="F3" s="260"/>
      <c r="G3" s="260"/>
      <c r="H3" s="136" t="s">
        <v>435</v>
      </c>
    </row>
    <row r="4" spans="1:9" ht="61.5" customHeight="1">
      <c r="A4" s="510" t="s">
        <v>153</v>
      </c>
      <c r="B4" s="510"/>
      <c r="C4" s="107" t="s">
        <v>18</v>
      </c>
      <c r="D4" s="342" t="s">
        <v>428</v>
      </c>
      <c r="E4" s="342" t="s">
        <v>429</v>
      </c>
      <c r="F4" s="107" t="s">
        <v>430</v>
      </c>
      <c r="G4" s="107" t="s">
        <v>413</v>
      </c>
      <c r="H4" s="108" t="s">
        <v>431</v>
      </c>
    </row>
    <row r="5" spans="1:9" ht="20.25" customHeight="1">
      <c r="A5" s="489">
        <v>1</v>
      </c>
      <c r="B5" s="489"/>
      <c r="C5" s="161">
        <v>2</v>
      </c>
      <c r="D5" s="229">
        <v>3</v>
      </c>
      <c r="E5" s="229">
        <v>4</v>
      </c>
      <c r="F5" s="161">
        <v>5</v>
      </c>
      <c r="G5" s="161">
        <v>6</v>
      </c>
      <c r="H5" s="161">
        <v>7</v>
      </c>
    </row>
    <row r="6" spans="1:9" s="208" customFormat="1" ht="22.2" customHeight="1">
      <c r="A6" s="508" t="s">
        <v>233</v>
      </c>
      <c r="B6" s="508"/>
      <c r="C6" s="161"/>
      <c r="D6" s="184"/>
      <c r="E6" s="184"/>
      <c r="F6" s="229"/>
      <c r="G6" s="184"/>
      <c r="H6" s="184"/>
      <c r="I6" s="389"/>
    </row>
    <row r="7" spans="1:9" s="60" customFormat="1" ht="37.5" customHeight="1">
      <c r="A7" s="505" t="s">
        <v>390</v>
      </c>
      <c r="B7" s="505"/>
      <c r="C7" s="271"/>
      <c r="D7" s="209"/>
      <c r="E7" s="209"/>
      <c r="F7" s="230"/>
      <c r="G7" s="209"/>
      <c r="H7" s="184"/>
      <c r="I7" s="380"/>
    </row>
    <row r="8" spans="1:9" s="60" customFormat="1" ht="24.6" customHeight="1">
      <c r="A8" s="506" t="s">
        <v>449</v>
      </c>
      <c r="B8" s="507"/>
      <c r="C8" s="270">
        <v>3030</v>
      </c>
      <c r="D8" s="332">
        <f t="shared" ref="D8:F8" si="0">SUM(D9:D23)</f>
        <v>425954.3</v>
      </c>
      <c r="E8" s="332">
        <f t="shared" si="0"/>
        <v>772051.7</v>
      </c>
      <c r="F8" s="231">
        <f t="shared" si="0"/>
        <v>572386</v>
      </c>
      <c r="G8" s="231">
        <f>F8-E8</f>
        <v>-199665.69999999995</v>
      </c>
      <c r="H8" s="181">
        <f>(F8/E8)*100</f>
        <v>74.138299287470005</v>
      </c>
      <c r="I8" s="380"/>
    </row>
    <row r="9" spans="1:9" s="60" customFormat="1" ht="35.4" customHeight="1">
      <c r="A9" s="182">
        <v>1</v>
      </c>
      <c r="B9" s="186" t="s">
        <v>601</v>
      </c>
      <c r="C9" s="161"/>
      <c r="D9" s="407"/>
      <c r="E9" s="335"/>
      <c r="F9" s="298"/>
      <c r="G9" s="229">
        <f>F9-E9</f>
        <v>0</v>
      </c>
      <c r="H9" s="184"/>
      <c r="I9" s="380"/>
    </row>
    <row r="10" spans="1:9" s="60" customFormat="1" ht="28.5" customHeight="1">
      <c r="A10" s="182">
        <v>2</v>
      </c>
      <c r="B10" s="186" t="s">
        <v>602</v>
      </c>
      <c r="C10" s="161"/>
      <c r="D10" s="407"/>
      <c r="E10" s="335"/>
      <c r="F10" s="298"/>
      <c r="G10" s="229">
        <f t="shared" ref="G10:G24" si="1">F10-E10</f>
        <v>0</v>
      </c>
      <c r="H10" s="184"/>
      <c r="I10" s="380"/>
    </row>
    <row r="11" spans="1:9" s="60" customFormat="1" ht="57" customHeight="1">
      <c r="A11" s="182"/>
      <c r="B11" s="191" t="s">
        <v>529</v>
      </c>
      <c r="C11" s="161"/>
      <c r="D11" s="407"/>
      <c r="E11" s="335">
        <v>164218.6</v>
      </c>
      <c r="F11" s="298"/>
      <c r="G11" s="229">
        <f t="shared" si="1"/>
        <v>-164218.6</v>
      </c>
      <c r="H11" s="184">
        <f t="shared" ref="H11:H24" si="2">(F11/E11)*100</f>
        <v>0</v>
      </c>
      <c r="I11" s="380"/>
    </row>
    <row r="12" spans="1:9" s="60" customFormat="1" ht="78.75" customHeight="1">
      <c r="A12" s="182"/>
      <c r="B12" s="191" t="s">
        <v>530</v>
      </c>
      <c r="C12" s="161"/>
      <c r="D12" s="407"/>
      <c r="E12" s="335">
        <v>35446.800000000003</v>
      </c>
      <c r="F12" s="298"/>
      <c r="G12" s="229">
        <f t="shared" si="1"/>
        <v>-35446.800000000003</v>
      </c>
      <c r="H12" s="184">
        <f t="shared" si="2"/>
        <v>0</v>
      </c>
      <c r="I12" s="380"/>
    </row>
    <row r="13" spans="1:9" s="60" customFormat="1" ht="26.25" customHeight="1">
      <c r="A13" s="192">
        <v>3</v>
      </c>
      <c r="B13" s="183" t="s">
        <v>531</v>
      </c>
      <c r="C13" s="161"/>
      <c r="D13" s="407"/>
      <c r="E13" s="335"/>
      <c r="F13" s="229"/>
      <c r="G13" s="229">
        <f t="shared" si="1"/>
        <v>0</v>
      </c>
      <c r="H13" s="184"/>
      <c r="I13" s="380"/>
    </row>
    <row r="14" spans="1:9" s="60" customFormat="1" ht="27" customHeight="1">
      <c r="A14" s="192" t="s">
        <v>603</v>
      </c>
      <c r="B14" s="186" t="s">
        <v>533</v>
      </c>
      <c r="C14" s="161"/>
      <c r="D14" s="407">
        <v>2789.2</v>
      </c>
      <c r="E14" s="335">
        <v>2531.5</v>
      </c>
      <c r="F14" s="387">
        <v>2531</v>
      </c>
      <c r="G14" s="229">
        <f t="shared" si="1"/>
        <v>-0.5</v>
      </c>
      <c r="H14" s="184">
        <f t="shared" si="2"/>
        <v>99.980248864309701</v>
      </c>
      <c r="I14" s="380"/>
    </row>
    <row r="15" spans="1:9" s="60" customFormat="1" ht="25.2" customHeight="1">
      <c r="A15" s="192" t="s">
        <v>604</v>
      </c>
      <c r="B15" s="186" t="s">
        <v>605</v>
      </c>
      <c r="C15" s="161"/>
      <c r="D15" s="407">
        <v>667.1</v>
      </c>
      <c r="E15" s="335">
        <v>606.1</v>
      </c>
      <c r="F15" s="387">
        <v>606</v>
      </c>
      <c r="G15" s="229">
        <f t="shared" si="1"/>
        <v>-0.10000000000002274</v>
      </c>
      <c r="H15" s="184">
        <f t="shared" si="2"/>
        <v>99.983501072430286</v>
      </c>
      <c r="I15" s="380"/>
    </row>
    <row r="16" spans="1:9" s="60" customFormat="1" ht="37.200000000000003" customHeight="1">
      <c r="A16" s="192" t="s">
        <v>606</v>
      </c>
      <c r="B16" s="186" t="s">
        <v>607</v>
      </c>
      <c r="C16" s="161"/>
      <c r="D16" s="407">
        <v>220.2</v>
      </c>
      <c r="E16" s="335">
        <v>242.4</v>
      </c>
      <c r="F16" s="297">
        <v>242</v>
      </c>
      <c r="G16" s="229">
        <f t="shared" si="1"/>
        <v>-0.40000000000000568</v>
      </c>
      <c r="H16" s="184">
        <f t="shared" si="2"/>
        <v>99.834983498349828</v>
      </c>
      <c r="I16" s="380"/>
    </row>
    <row r="17" spans="1:9" s="60" customFormat="1" ht="38.4" customHeight="1">
      <c r="A17" s="192" t="s">
        <v>608</v>
      </c>
      <c r="B17" s="186" t="s">
        <v>539</v>
      </c>
      <c r="C17" s="161"/>
      <c r="D17" s="407">
        <v>268803.09999999998</v>
      </c>
      <c r="E17" s="335">
        <v>355063.8</v>
      </c>
      <c r="F17" s="387">
        <v>355064</v>
      </c>
      <c r="G17" s="229">
        <f t="shared" si="1"/>
        <v>0.20000000001164153</v>
      </c>
      <c r="H17" s="184">
        <f t="shared" si="2"/>
        <v>100.00005632790501</v>
      </c>
      <c r="I17" s="380"/>
    </row>
    <row r="18" spans="1:9" s="60" customFormat="1" ht="56.4" customHeight="1">
      <c r="A18" s="192" t="s">
        <v>609</v>
      </c>
      <c r="B18" s="186" t="s">
        <v>610</v>
      </c>
      <c r="C18" s="161"/>
      <c r="D18" s="407">
        <v>24153.3</v>
      </c>
      <c r="E18" s="335">
        <v>0</v>
      </c>
      <c r="F18" s="297"/>
      <c r="G18" s="229">
        <f t="shared" si="1"/>
        <v>0</v>
      </c>
      <c r="H18" s="184"/>
      <c r="I18" s="380"/>
    </row>
    <row r="19" spans="1:9" s="60" customFormat="1" ht="60" customHeight="1">
      <c r="A19" s="192" t="s">
        <v>611</v>
      </c>
      <c r="B19" s="186" t="s">
        <v>542</v>
      </c>
      <c r="C19" s="161"/>
      <c r="D19" s="407">
        <v>48306.5</v>
      </c>
      <c r="E19" s="335">
        <v>77417.899999999994</v>
      </c>
      <c r="F19" s="387">
        <v>77418</v>
      </c>
      <c r="G19" s="229">
        <f t="shared" si="1"/>
        <v>0.10000000000582077</v>
      </c>
      <c r="H19" s="184">
        <f t="shared" si="2"/>
        <v>100.00012916909398</v>
      </c>
      <c r="I19" s="380"/>
    </row>
    <row r="20" spans="1:9" s="60" customFormat="1" ht="61.5" customHeight="1">
      <c r="A20" s="192" t="s">
        <v>612</v>
      </c>
      <c r="B20" s="210" t="s">
        <v>613</v>
      </c>
      <c r="C20" s="161"/>
      <c r="D20" s="407">
        <v>61923.9</v>
      </c>
      <c r="E20" s="335">
        <v>97077.5</v>
      </c>
      <c r="F20" s="297">
        <v>97078</v>
      </c>
      <c r="G20" s="229">
        <f t="shared" si="1"/>
        <v>0.5</v>
      </c>
      <c r="H20" s="184">
        <f t="shared" si="2"/>
        <v>100.0005150524066</v>
      </c>
      <c r="I20" s="380"/>
    </row>
    <row r="21" spans="1:9" s="60" customFormat="1" ht="58.2" customHeight="1">
      <c r="A21" s="192" t="s">
        <v>614</v>
      </c>
      <c r="B21" s="210" t="s">
        <v>615</v>
      </c>
      <c r="C21" s="161"/>
      <c r="D21" s="407">
        <v>19091</v>
      </c>
      <c r="E21" s="335">
        <v>39447.1</v>
      </c>
      <c r="F21" s="297">
        <v>39447</v>
      </c>
      <c r="G21" s="229">
        <f t="shared" si="1"/>
        <v>-9.9999999998544808E-2</v>
      </c>
      <c r="H21" s="184">
        <f t="shared" si="2"/>
        <v>99.99974649594013</v>
      </c>
      <c r="I21" s="380"/>
    </row>
    <row r="22" spans="1:9" s="60" customFormat="1" ht="24.6" customHeight="1">
      <c r="A22" s="182">
        <v>4</v>
      </c>
      <c r="B22" s="186" t="s">
        <v>549</v>
      </c>
      <c r="C22" s="161"/>
      <c r="D22" s="297"/>
      <c r="E22" s="408"/>
      <c r="F22" s="299"/>
      <c r="G22" s="229">
        <f t="shared" si="1"/>
        <v>0</v>
      </c>
      <c r="H22" s="184"/>
      <c r="I22" s="380"/>
    </row>
    <row r="23" spans="1:9" s="60" customFormat="1" ht="42" customHeight="1">
      <c r="A23" s="182">
        <v>5</v>
      </c>
      <c r="B23" s="186" t="s">
        <v>616</v>
      </c>
      <c r="C23" s="161"/>
      <c r="D23" s="297"/>
      <c r="E23" s="335"/>
      <c r="F23" s="229"/>
      <c r="G23" s="229">
        <f t="shared" si="1"/>
        <v>0</v>
      </c>
      <c r="H23" s="184"/>
      <c r="I23" s="380"/>
    </row>
    <row r="24" spans="1:9" s="60" customFormat="1" ht="26.4" customHeight="1">
      <c r="A24" s="509" t="s">
        <v>391</v>
      </c>
      <c r="B24" s="509"/>
      <c r="C24" s="270">
        <v>3080</v>
      </c>
      <c r="D24" s="332">
        <f>SUM(D25:D27)</f>
        <v>6913.4</v>
      </c>
      <c r="E24" s="332">
        <f>SUM(E25:E26)</f>
        <v>5790</v>
      </c>
      <c r="F24" s="231">
        <f>SUM(F25:F27)</f>
        <v>7401</v>
      </c>
      <c r="G24" s="231">
        <f t="shared" si="1"/>
        <v>1611</v>
      </c>
      <c r="H24" s="181">
        <f t="shared" si="2"/>
        <v>127.82383419689118</v>
      </c>
      <c r="I24" s="380"/>
    </row>
    <row r="25" spans="1:9" s="60" customFormat="1" ht="41.4" customHeight="1">
      <c r="A25" s="161">
        <v>1</v>
      </c>
      <c r="B25" s="186" t="s">
        <v>617</v>
      </c>
      <c r="C25" s="161"/>
      <c r="D25" s="333">
        <v>6440.4</v>
      </c>
      <c r="E25" s="333">
        <v>5500</v>
      </c>
      <c r="F25" s="229">
        <v>7128</v>
      </c>
      <c r="G25" s="229">
        <f t="shared" ref="G25" si="3">F25-E25</f>
        <v>1628</v>
      </c>
      <c r="H25" s="184">
        <f t="shared" ref="H25" si="4">(F25/E25)*100</f>
        <v>129.6</v>
      </c>
      <c r="I25" s="380"/>
    </row>
    <row r="26" spans="1:9" s="60" customFormat="1" ht="27" customHeight="1">
      <c r="A26" s="161">
        <v>2</v>
      </c>
      <c r="B26" s="186" t="s">
        <v>618</v>
      </c>
      <c r="C26" s="161"/>
      <c r="D26" s="333">
        <v>252.2</v>
      </c>
      <c r="E26" s="333">
        <v>290</v>
      </c>
      <c r="F26" s="229">
        <v>273</v>
      </c>
      <c r="G26" s="229">
        <f t="shared" ref="G26:G29" si="5">F26-E26</f>
        <v>-17</v>
      </c>
      <c r="H26" s="184">
        <f t="shared" ref="H26:H29" si="6">(F26/E26)*100</f>
        <v>94.137931034482762</v>
      </c>
      <c r="I26" s="380"/>
    </row>
    <row r="27" spans="1:9" s="60" customFormat="1" ht="25.2" customHeight="1">
      <c r="A27" s="161">
        <v>3</v>
      </c>
      <c r="B27" s="186" t="s">
        <v>619</v>
      </c>
      <c r="C27" s="161"/>
      <c r="D27" s="333">
        <v>220.8</v>
      </c>
      <c r="E27" s="333"/>
      <c r="F27" s="229"/>
      <c r="G27" s="229">
        <f t="shared" si="5"/>
        <v>0</v>
      </c>
      <c r="H27" s="184"/>
      <c r="I27" s="380"/>
    </row>
    <row r="28" spans="1:9" s="60" customFormat="1" ht="24" customHeight="1">
      <c r="A28" s="505" t="s">
        <v>217</v>
      </c>
      <c r="B28" s="505"/>
      <c r="C28" s="211"/>
      <c r="D28" s="409"/>
      <c r="E28" s="409"/>
      <c r="F28" s="300"/>
      <c r="G28" s="229">
        <f t="shared" si="5"/>
        <v>0</v>
      </c>
      <c r="H28" s="184"/>
      <c r="I28" s="380"/>
    </row>
    <row r="29" spans="1:9" s="60" customFormat="1" ht="30.6" customHeight="1">
      <c r="A29" s="506" t="s">
        <v>392</v>
      </c>
      <c r="B29" s="507"/>
      <c r="C29" s="144">
        <v>3140</v>
      </c>
      <c r="D29" s="332">
        <f t="shared" ref="D29:F29" si="7">SUM(D30:D32)</f>
        <v>42.3</v>
      </c>
      <c r="E29" s="332">
        <f t="shared" si="7"/>
        <v>54.300000000000004</v>
      </c>
      <c r="F29" s="231">
        <f t="shared" si="7"/>
        <v>7</v>
      </c>
      <c r="G29" s="231">
        <f t="shared" si="5"/>
        <v>-47.300000000000004</v>
      </c>
      <c r="H29" s="181">
        <f t="shared" si="6"/>
        <v>12.891344383057088</v>
      </c>
      <c r="I29" s="380"/>
    </row>
    <row r="30" spans="1:9" s="60" customFormat="1" ht="21" customHeight="1">
      <c r="A30" s="161">
        <v>1</v>
      </c>
      <c r="B30" s="186" t="s">
        <v>620</v>
      </c>
      <c r="C30" s="101"/>
      <c r="D30" s="333">
        <v>5</v>
      </c>
      <c r="E30" s="333">
        <v>4.5999999999999996</v>
      </c>
      <c r="F30" s="297">
        <v>7</v>
      </c>
      <c r="G30" s="229">
        <f t="shared" ref="G30" si="8">F30-E30</f>
        <v>2.4000000000000004</v>
      </c>
      <c r="H30" s="184">
        <f t="shared" ref="H30" si="9">(F30/E30)*100</f>
        <v>152.17391304347828</v>
      </c>
      <c r="I30" s="380"/>
    </row>
    <row r="31" spans="1:9" s="60" customFormat="1" ht="21" customHeight="1">
      <c r="A31" s="161">
        <v>2</v>
      </c>
      <c r="B31" s="186" t="s">
        <v>621</v>
      </c>
      <c r="C31" s="101"/>
      <c r="D31" s="333">
        <v>37.299999999999997</v>
      </c>
      <c r="E31" s="333">
        <v>49.7</v>
      </c>
      <c r="F31" s="299"/>
      <c r="G31" s="229">
        <f t="shared" ref="G31:G33" si="10">F31-E31</f>
        <v>-49.7</v>
      </c>
      <c r="H31" s="184">
        <f t="shared" ref="H31:H33" si="11">(F31/E31)*100</f>
        <v>0</v>
      </c>
      <c r="I31" s="380"/>
    </row>
    <row r="32" spans="1:9" s="60" customFormat="1" ht="21" customHeight="1">
      <c r="A32" s="161">
        <v>3</v>
      </c>
      <c r="B32" s="186" t="s">
        <v>622</v>
      </c>
      <c r="C32" s="101"/>
      <c r="D32" s="229"/>
      <c r="E32" s="410"/>
      <c r="F32" s="297"/>
      <c r="G32" s="229">
        <f t="shared" si="10"/>
        <v>0</v>
      </c>
      <c r="H32" s="184"/>
      <c r="I32" s="380"/>
    </row>
    <row r="33" spans="1:9" s="60" customFormat="1" ht="30" customHeight="1">
      <c r="A33" s="506" t="s">
        <v>206</v>
      </c>
      <c r="B33" s="507"/>
      <c r="C33" s="144">
        <v>3160</v>
      </c>
      <c r="D33" s="332">
        <f>SUM(D34:D71)</f>
        <v>32587</v>
      </c>
      <c r="E33" s="332">
        <f t="shared" ref="E33:F33" si="12">SUM(E34:E71)</f>
        <v>33615.199999999997</v>
      </c>
      <c r="F33" s="231">
        <f t="shared" si="12"/>
        <v>37307</v>
      </c>
      <c r="G33" s="231">
        <f t="shared" si="10"/>
        <v>3691.8000000000029</v>
      </c>
      <c r="H33" s="181">
        <f t="shared" si="11"/>
        <v>110.98253171184464</v>
      </c>
      <c r="I33" s="380"/>
    </row>
    <row r="34" spans="1:9" s="60" customFormat="1" ht="21" customHeight="1">
      <c r="A34" s="161">
        <v>1</v>
      </c>
      <c r="B34" s="186" t="s">
        <v>623</v>
      </c>
      <c r="C34" s="101"/>
      <c r="D34" s="333">
        <v>1902.2</v>
      </c>
      <c r="E34" s="333">
        <v>2000</v>
      </c>
      <c r="F34" s="229">
        <v>1315</v>
      </c>
      <c r="G34" s="229">
        <f t="shared" ref="G34" si="13">F34-E34</f>
        <v>-685</v>
      </c>
      <c r="H34" s="184">
        <f t="shared" ref="H34" si="14">(F34/E34)*100</f>
        <v>65.75</v>
      </c>
      <c r="I34" s="380"/>
    </row>
    <row r="35" spans="1:9" s="60" customFormat="1" ht="21" customHeight="1">
      <c r="A35" s="161">
        <v>2</v>
      </c>
      <c r="B35" s="186" t="s">
        <v>624</v>
      </c>
      <c r="C35" s="101"/>
      <c r="D35" s="333">
        <v>82</v>
      </c>
      <c r="E35" s="333">
        <v>150</v>
      </c>
      <c r="F35" s="229">
        <v>211</v>
      </c>
      <c r="G35" s="229">
        <f t="shared" ref="G35:G73" si="15">F35-E35</f>
        <v>61</v>
      </c>
      <c r="H35" s="184">
        <f t="shared" ref="H35:H71" si="16">(F35/E35)*100</f>
        <v>140.66666666666669</v>
      </c>
      <c r="I35" s="380"/>
    </row>
    <row r="36" spans="1:9" s="60" customFormat="1" ht="21" customHeight="1">
      <c r="A36" s="161">
        <v>3</v>
      </c>
      <c r="B36" s="186" t="s">
        <v>625</v>
      </c>
      <c r="C36" s="101"/>
      <c r="D36" s="333">
        <v>497</v>
      </c>
      <c r="E36" s="333">
        <v>536.4</v>
      </c>
      <c r="F36" s="229">
        <v>447</v>
      </c>
      <c r="G36" s="229">
        <f t="shared" si="15"/>
        <v>-89.399999999999977</v>
      </c>
      <c r="H36" s="184">
        <f t="shared" si="16"/>
        <v>83.333333333333343</v>
      </c>
      <c r="I36" s="380"/>
    </row>
    <row r="37" spans="1:9" s="60" customFormat="1" ht="21" customHeight="1">
      <c r="A37" s="161">
        <v>4</v>
      </c>
      <c r="B37" s="186" t="s">
        <v>626</v>
      </c>
      <c r="C37" s="101"/>
      <c r="D37" s="333">
        <v>179.5</v>
      </c>
      <c r="E37" s="333">
        <v>180</v>
      </c>
      <c r="F37" s="229">
        <v>171</v>
      </c>
      <c r="G37" s="229">
        <f t="shared" si="15"/>
        <v>-9</v>
      </c>
      <c r="H37" s="184">
        <f t="shared" si="16"/>
        <v>95</v>
      </c>
      <c r="I37" s="380"/>
    </row>
    <row r="38" spans="1:9" s="60" customFormat="1" ht="61.95" customHeight="1">
      <c r="A38" s="161">
        <v>5</v>
      </c>
      <c r="B38" s="186" t="s">
        <v>627</v>
      </c>
      <c r="C38" s="101"/>
      <c r="D38" s="333">
        <v>3496.1</v>
      </c>
      <c r="E38" s="333">
        <v>1050</v>
      </c>
      <c r="F38" s="229">
        <v>2433</v>
      </c>
      <c r="G38" s="229">
        <f t="shared" si="15"/>
        <v>1383</v>
      </c>
      <c r="H38" s="184">
        <f t="shared" si="16"/>
        <v>231.71428571428572</v>
      </c>
      <c r="I38" s="380"/>
    </row>
    <row r="39" spans="1:9" s="60" customFormat="1" ht="19.5" customHeight="1">
      <c r="A39" s="161">
        <v>6</v>
      </c>
      <c r="B39" s="186" t="s">
        <v>628</v>
      </c>
      <c r="C39" s="101"/>
      <c r="D39" s="333">
        <v>175.3</v>
      </c>
      <c r="E39" s="333">
        <v>177.2</v>
      </c>
      <c r="F39" s="229">
        <v>225</v>
      </c>
      <c r="G39" s="229">
        <f t="shared" si="15"/>
        <v>47.800000000000011</v>
      </c>
      <c r="H39" s="184">
        <f t="shared" si="16"/>
        <v>126.97516930022574</v>
      </c>
      <c r="I39" s="380"/>
    </row>
    <row r="40" spans="1:9" s="60" customFormat="1" ht="19.5" customHeight="1">
      <c r="A40" s="161">
        <v>7</v>
      </c>
      <c r="B40" s="186" t="s">
        <v>629</v>
      </c>
      <c r="C40" s="101"/>
      <c r="D40" s="333">
        <v>3.9</v>
      </c>
      <c r="E40" s="333">
        <v>20</v>
      </c>
      <c r="F40" s="297">
        <v>1</v>
      </c>
      <c r="G40" s="229">
        <f t="shared" si="15"/>
        <v>-19</v>
      </c>
      <c r="H40" s="184">
        <f t="shared" si="16"/>
        <v>5</v>
      </c>
      <c r="I40" s="380"/>
    </row>
    <row r="41" spans="1:9" s="60" customFormat="1" ht="19.5" customHeight="1">
      <c r="A41" s="161">
        <v>8</v>
      </c>
      <c r="B41" s="186" t="s">
        <v>630</v>
      </c>
      <c r="C41" s="101"/>
      <c r="D41" s="333">
        <v>412.2</v>
      </c>
      <c r="E41" s="333">
        <v>449</v>
      </c>
      <c r="F41" s="229">
        <v>470</v>
      </c>
      <c r="G41" s="229">
        <f t="shared" si="15"/>
        <v>21</v>
      </c>
      <c r="H41" s="184">
        <f t="shared" si="16"/>
        <v>104.67706013363029</v>
      </c>
      <c r="I41" s="380"/>
    </row>
    <row r="42" spans="1:9" s="60" customFormat="1" ht="19.5" customHeight="1">
      <c r="A42" s="161">
        <v>9</v>
      </c>
      <c r="B42" s="186" t="s">
        <v>631</v>
      </c>
      <c r="C42" s="101"/>
      <c r="D42" s="333">
        <v>131.5</v>
      </c>
      <c r="E42" s="333">
        <v>132</v>
      </c>
      <c r="F42" s="297">
        <v>131</v>
      </c>
      <c r="G42" s="229">
        <f t="shared" si="15"/>
        <v>-1</v>
      </c>
      <c r="H42" s="184">
        <f t="shared" si="16"/>
        <v>99.242424242424249</v>
      </c>
      <c r="I42" s="380"/>
    </row>
    <row r="43" spans="1:9" s="60" customFormat="1" ht="37.5" customHeight="1">
      <c r="A43" s="161">
        <v>10</v>
      </c>
      <c r="B43" s="186" t="s">
        <v>632</v>
      </c>
      <c r="C43" s="101"/>
      <c r="D43" s="333">
        <v>48.7</v>
      </c>
      <c r="E43" s="333">
        <v>40</v>
      </c>
      <c r="F43" s="229">
        <v>62</v>
      </c>
      <c r="G43" s="229">
        <f t="shared" si="15"/>
        <v>22</v>
      </c>
      <c r="H43" s="184">
        <f t="shared" si="16"/>
        <v>155</v>
      </c>
      <c r="I43" s="380"/>
    </row>
    <row r="44" spans="1:9" s="60" customFormat="1" ht="42" customHeight="1">
      <c r="A44" s="161">
        <v>11</v>
      </c>
      <c r="B44" s="186" t="s">
        <v>633</v>
      </c>
      <c r="C44" s="101"/>
      <c r="D44" s="333">
        <v>51.8</v>
      </c>
      <c r="E44" s="333">
        <v>60</v>
      </c>
      <c r="F44" s="297">
        <v>57</v>
      </c>
      <c r="G44" s="229">
        <f t="shared" si="15"/>
        <v>-3</v>
      </c>
      <c r="H44" s="184">
        <f t="shared" si="16"/>
        <v>95</v>
      </c>
      <c r="I44" s="380"/>
    </row>
    <row r="45" spans="1:9" s="60" customFormat="1" ht="22.5" customHeight="1">
      <c r="A45" s="161">
        <v>12</v>
      </c>
      <c r="B45" s="186" t="s">
        <v>505</v>
      </c>
      <c r="C45" s="101"/>
      <c r="D45" s="333">
        <v>92.2</v>
      </c>
      <c r="E45" s="333">
        <v>80</v>
      </c>
      <c r="F45" s="297">
        <v>157</v>
      </c>
      <c r="G45" s="229">
        <f t="shared" si="15"/>
        <v>77</v>
      </c>
      <c r="H45" s="184">
        <f t="shared" si="16"/>
        <v>196.25</v>
      </c>
      <c r="I45" s="380"/>
    </row>
    <row r="46" spans="1:9" s="60" customFormat="1" ht="22.5" customHeight="1">
      <c r="A46" s="161">
        <v>13</v>
      </c>
      <c r="B46" s="186" t="s">
        <v>634</v>
      </c>
      <c r="C46" s="101"/>
      <c r="D46" s="333">
        <v>4864.1000000000004</v>
      </c>
      <c r="E46" s="333">
        <v>5994.6</v>
      </c>
      <c r="F46" s="297">
        <v>7234</v>
      </c>
      <c r="G46" s="229">
        <f t="shared" si="15"/>
        <v>1239.3999999999996</v>
      </c>
      <c r="H46" s="184">
        <f t="shared" si="16"/>
        <v>120.67527441363895</v>
      </c>
      <c r="I46" s="380"/>
    </row>
    <row r="47" spans="1:9" s="60" customFormat="1" ht="78" customHeight="1">
      <c r="A47" s="161">
        <v>14</v>
      </c>
      <c r="B47" s="186" t="s">
        <v>635</v>
      </c>
      <c r="C47" s="101"/>
      <c r="D47" s="333">
        <v>5946.1</v>
      </c>
      <c r="E47" s="333">
        <v>6400</v>
      </c>
      <c r="F47" s="229">
        <v>6123</v>
      </c>
      <c r="G47" s="229">
        <f t="shared" si="15"/>
        <v>-277</v>
      </c>
      <c r="H47" s="184">
        <f t="shared" si="16"/>
        <v>95.671875</v>
      </c>
      <c r="I47" s="380"/>
    </row>
    <row r="48" spans="1:9" s="60" customFormat="1" ht="21" customHeight="1">
      <c r="A48" s="161">
        <v>15</v>
      </c>
      <c r="B48" s="183" t="s">
        <v>636</v>
      </c>
      <c r="C48" s="101"/>
      <c r="D48" s="333">
        <v>973.5</v>
      </c>
      <c r="E48" s="333">
        <v>1376</v>
      </c>
      <c r="F48" s="229">
        <v>167</v>
      </c>
      <c r="G48" s="229">
        <f t="shared" si="15"/>
        <v>-1209</v>
      </c>
      <c r="H48" s="184">
        <f t="shared" si="16"/>
        <v>12.136627906976743</v>
      </c>
      <c r="I48" s="380"/>
    </row>
    <row r="49" spans="1:9" s="60" customFormat="1" ht="21" customHeight="1">
      <c r="A49" s="161">
        <v>16</v>
      </c>
      <c r="B49" s="186" t="s">
        <v>732</v>
      </c>
      <c r="C49" s="101"/>
      <c r="D49" s="333"/>
      <c r="E49" s="333"/>
      <c r="F49" s="297">
        <v>3000</v>
      </c>
      <c r="G49" s="229">
        <f t="shared" si="15"/>
        <v>3000</v>
      </c>
      <c r="H49" s="184"/>
      <c r="I49" s="380"/>
    </row>
    <row r="50" spans="1:9" s="60" customFormat="1" ht="21" customHeight="1">
      <c r="A50" s="161">
        <v>17</v>
      </c>
      <c r="B50" s="186" t="s">
        <v>637</v>
      </c>
      <c r="C50" s="101"/>
      <c r="D50" s="333">
        <v>125.9</v>
      </c>
      <c r="E50" s="333">
        <v>120</v>
      </c>
      <c r="F50" s="297">
        <v>665</v>
      </c>
      <c r="G50" s="229">
        <f t="shared" si="15"/>
        <v>545</v>
      </c>
      <c r="H50" s="184">
        <f t="shared" si="16"/>
        <v>554.16666666666674</v>
      </c>
      <c r="I50" s="380"/>
    </row>
    <row r="51" spans="1:9" s="60" customFormat="1" ht="21" customHeight="1">
      <c r="A51" s="161">
        <v>18</v>
      </c>
      <c r="B51" s="186" t="s">
        <v>638</v>
      </c>
      <c r="C51" s="101"/>
      <c r="D51" s="333">
        <v>362.7</v>
      </c>
      <c r="E51" s="333">
        <v>250</v>
      </c>
      <c r="F51" s="229">
        <v>370</v>
      </c>
      <c r="G51" s="229">
        <f t="shared" si="15"/>
        <v>120</v>
      </c>
      <c r="H51" s="184">
        <f t="shared" si="16"/>
        <v>148</v>
      </c>
      <c r="I51" s="380"/>
    </row>
    <row r="52" spans="1:9" s="60" customFormat="1" ht="21" customHeight="1">
      <c r="A52" s="161">
        <v>19</v>
      </c>
      <c r="B52" s="186" t="s">
        <v>639</v>
      </c>
      <c r="C52" s="101"/>
      <c r="D52" s="333">
        <v>699.3</v>
      </c>
      <c r="E52" s="333">
        <v>1260</v>
      </c>
      <c r="F52" s="229">
        <v>1057</v>
      </c>
      <c r="G52" s="229">
        <f t="shared" si="15"/>
        <v>-203</v>
      </c>
      <c r="H52" s="184">
        <f t="shared" si="16"/>
        <v>83.888888888888886</v>
      </c>
      <c r="I52" s="380"/>
    </row>
    <row r="53" spans="1:9" s="60" customFormat="1" ht="21" customHeight="1">
      <c r="A53" s="161">
        <v>20</v>
      </c>
      <c r="B53" s="186" t="s">
        <v>640</v>
      </c>
      <c r="C53" s="101"/>
      <c r="D53" s="333">
        <v>62.4</v>
      </c>
      <c r="E53" s="333">
        <v>70</v>
      </c>
      <c r="F53" s="229">
        <v>90</v>
      </c>
      <c r="G53" s="229">
        <f t="shared" si="15"/>
        <v>20</v>
      </c>
      <c r="H53" s="184">
        <f t="shared" si="16"/>
        <v>128.57142857142858</v>
      </c>
      <c r="I53" s="380"/>
    </row>
    <row r="54" spans="1:9" s="60" customFormat="1" ht="21" customHeight="1">
      <c r="A54" s="161">
        <v>21</v>
      </c>
      <c r="B54" s="186" t="s">
        <v>641</v>
      </c>
      <c r="C54" s="101"/>
      <c r="D54" s="333">
        <v>58.2</v>
      </c>
      <c r="E54" s="333">
        <v>400</v>
      </c>
      <c r="F54" s="297">
        <v>196</v>
      </c>
      <c r="G54" s="229">
        <f t="shared" si="15"/>
        <v>-204</v>
      </c>
      <c r="H54" s="184">
        <f t="shared" si="16"/>
        <v>49</v>
      </c>
      <c r="I54" s="380"/>
    </row>
    <row r="55" spans="1:9" s="60" customFormat="1" ht="21" customHeight="1">
      <c r="A55" s="161">
        <v>22</v>
      </c>
      <c r="B55" s="186" t="s">
        <v>642</v>
      </c>
      <c r="C55" s="101"/>
      <c r="D55" s="333">
        <v>721.2</v>
      </c>
      <c r="E55" s="333"/>
      <c r="F55" s="297">
        <v>983</v>
      </c>
      <c r="G55" s="229">
        <f t="shared" si="15"/>
        <v>983</v>
      </c>
      <c r="H55" s="184"/>
      <c r="I55" s="380"/>
    </row>
    <row r="56" spans="1:9" s="60" customFormat="1" ht="21" customHeight="1">
      <c r="A56" s="161">
        <v>23</v>
      </c>
      <c r="B56" s="186" t="s">
        <v>643</v>
      </c>
      <c r="C56" s="101"/>
      <c r="D56" s="333"/>
      <c r="E56" s="333"/>
      <c r="F56" s="229"/>
      <c r="G56" s="229">
        <f t="shared" si="15"/>
        <v>0</v>
      </c>
      <c r="H56" s="184"/>
      <c r="I56" s="380"/>
    </row>
    <row r="57" spans="1:9" s="60" customFormat="1" ht="21" customHeight="1">
      <c r="A57" s="161"/>
      <c r="B57" s="186" t="s">
        <v>644</v>
      </c>
      <c r="C57" s="101"/>
      <c r="D57" s="333">
        <v>144.1</v>
      </c>
      <c r="E57" s="333">
        <v>310</v>
      </c>
      <c r="F57" s="229">
        <v>50</v>
      </c>
      <c r="G57" s="229">
        <f t="shared" si="15"/>
        <v>-260</v>
      </c>
      <c r="H57" s="184">
        <f t="shared" si="16"/>
        <v>16.129032258064516</v>
      </c>
      <c r="I57" s="380"/>
    </row>
    <row r="58" spans="1:9" s="60" customFormat="1" ht="21" customHeight="1">
      <c r="A58" s="161"/>
      <c r="B58" s="186" t="s">
        <v>645</v>
      </c>
      <c r="C58" s="101"/>
      <c r="D58" s="333">
        <v>321</v>
      </c>
      <c r="E58" s="333">
        <v>280</v>
      </c>
      <c r="F58" s="229">
        <v>202</v>
      </c>
      <c r="G58" s="229">
        <f t="shared" si="15"/>
        <v>-78</v>
      </c>
      <c r="H58" s="184">
        <f t="shared" si="16"/>
        <v>72.142857142857139</v>
      </c>
      <c r="I58" s="380"/>
    </row>
    <row r="59" spans="1:9" s="60" customFormat="1" ht="39.6" customHeight="1">
      <c r="A59" s="161"/>
      <c r="B59" s="186" t="s">
        <v>646</v>
      </c>
      <c r="C59" s="101"/>
      <c r="D59" s="333">
        <v>1348.6</v>
      </c>
      <c r="E59" s="333">
        <v>1310</v>
      </c>
      <c r="F59" s="229">
        <v>812</v>
      </c>
      <c r="G59" s="229">
        <f t="shared" si="15"/>
        <v>-498</v>
      </c>
      <c r="H59" s="184">
        <f t="shared" si="16"/>
        <v>61.984732824427482</v>
      </c>
      <c r="I59" s="380"/>
    </row>
    <row r="60" spans="1:9" s="60" customFormat="1" ht="21" customHeight="1">
      <c r="A60" s="161"/>
      <c r="B60" s="186" t="s">
        <v>647</v>
      </c>
      <c r="C60" s="101"/>
      <c r="D60" s="333">
        <v>600</v>
      </c>
      <c r="E60" s="333">
        <v>260</v>
      </c>
      <c r="F60" s="229">
        <v>272</v>
      </c>
      <c r="G60" s="229">
        <f t="shared" si="15"/>
        <v>12</v>
      </c>
      <c r="H60" s="184">
        <f t="shared" si="16"/>
        <v>104.61538461538463</v>
      </c>
      <c r="I60" s="380"/>
    </row>
    <row r="61" spans="1:9" s="60" customFormat="1" ht="21" customHeight="1">
      <c r="A61" s="161"/>
      <c r="B61" s="186" t="s">
        <v>648</v>
      </c>
      <c r="C61" s="101"/>
      <c r="D61" s="333">
        <v>229.8</v>
      </c>
      <c r="E61" s="333">
        <v>268</v>
      </c>
      <c r="F61" s="229">
        <v>254</v>
      </c>
      <c r="G61" s="229">
        <f t="shared" si="15"/>
        <v>-14</v>
      </c>
      <c r="H61" s="184">
        <f t="shared" si="16"/>
        <v>94.776119402985074</v>
      </c>
      <c r="I61" s="380"/>
    </row>
    <row r="62" spans="1:9" s="60" customFormat="1" ht="21" customHeight="1">
      <c r="A62" s="161"/>
      <c r="B62" s="186" t="s">
        <v>649</v>
      </c>
      <c r="C62" s="101"/>
      <c r="D62" s="333"/>
      <c r="E62" s="333">
        <v>60</v>
      </c>
      <c r="F62" s="229"/>
      <c r="G62" s="229">
        <f t="shared" si="15"/>
        <v>-60</v>
      </c>
      <c r="H62" s="184">
        <f t="shared" si="16"/>
        <v>0</v>
      </c>
      <c r="I62" s="380"/>
    </row>
    <row r="63" spans="1:9" s="60" customFormat="1" ht="21" customHeight="1">
      <c r="A63" s="161"/>
      <c r="B63" s="186" t="s">
        <v>650</v>
      </c>
      <c r="C63" s="101"/>
      <c r="D63" s="333"/>
      <c r="E63" s="333">
        <v>1200</v>
      </c>
      <c r="F63" s="229"/>
      <c r="G63" s="229">
        <f t="shared" si="15"/>
        <v>-1200</v>
      </c>
      <c r="H63" s="184">
        <f t="shared" si="16"/>
        <v>0</v>
      </c>
      <c r="I63" s="380"/>
    </row>
    <row r="64" spans="1:9" s="60" customFormat="1" ht="21" customHeight="1">
      <c r="A64" s="161"/>
      <c r="B64" s="186" t="s">
        <v>651</v>
      </c>
      <c r="C64" s="101"/>
      <c r="D64" s="333">
        <v>1170.4000000000001</v>
      </c>
      <c r="E64" s="333">
        <v>1490</v>
      </c>
      <c r="F64" s="229">
        <v>950</v>
      </c>
      <c r="G64" s="229">
        <f t="shared" si="15"/>
        <v>-540</v>
      </c>
      <c r="H64" s="184">
        <f t="shared" si="16"/>
        <v>63.758389261744966</v>
      </c>
      <c r="I64" s="380"/>
    </row>
    <row r="65" spans="1:9" s="60" customFormat="1" ht="21" customHeight="1">
      <c r="A65" s="161"/>
      <c r="B65" s="186" t="s">
        <v>652</v>
      </c>
      <c r="C65" s="101"/>
      <c r="D65" s="333">
        <v>2567.8000000000002</v>
      </c>
      <c r="E65" s="333">
        <v>2340</v>
      </c>
      <c r="F65" s="229">
        <v>3403</v>
      </c>
      <c r="G65" s="229">
        <f t="shared" si="15"/>
        <v>1063</v>
      </c>
      <c r="H65" s="184">
        <f t="shared" si="16"/>
        <v>145.42735042735043</v>
      </c>
      <c r="I65" s="380"/>
    </row>
    <row r="66" spans="1:9" s="60" customFormat="1" ht="21" customHeight="1">
      <c r="A66" s="161"/>
      <c r="B66" s="186" t="s">
        <v>653</v>
      </c>
      <c r="C66" s="101"/>
      <c r="D66" s="333">
        <v>1007.5</v>
      </c>
      <c r="E66" s="333">
        <v>1080</v>
      </c>
      <c r="F66" s="229">
        <v>1063</v>
      </c>
      <c r="G66" s="229">
        <f t="shared" si="15"/>
        <v>-17</v>
      </c>
      <c r="H66" s="184">
        <f t="shared" si="16"/>
        <v>98.425925925925924</v>
      </c>
      <c r="I66" s="380"/>
    </row>
    <row r="67" spans="1:9" s="60" customFormat="1" ht="21" customHeight="1">
      <c r="A67" s="161"/>
      <c r="B67" s="186" t="s">
        <v>654</v>
      </c>
      <c r="C67" s="101"/>
      <c r="D67" s="333"/>
      <c r="E67" s="333">
        <v>100</v>
      </c>
      <c r="F67" s="229">
        <v>66</v>
      </c>
      <c r="G67" s="229">
        <f t="shared" si="15"/>
        <v>-34</v>
      </c>
      <c r="H67" s="184">
        <f t="shared" si="16"/>
        <v>66</v>
      </c>
      <c r="I67" s="380"/>
    </row>
    <row r="68" spans="1:9" s="60" customFormat="1" ht="37.5" customHeight="1">
      <c r="A68" s="161"/>
      <c r="B68" s="186" t="s">
        <v>655</v>
      </c>
      <c r="C68" s="101"/>
      <c r="D68" s="333"/>
      <c r="E68" s="333">
        <v>120</v>
      </c>
      <c r="F68" s="229"/>
      <c r="G68" s="229">
        <f t="shared" si="15"/>
        <v>-120</v>
      </c>
      <c r="H68" s="184">
        <f t="shared" si="16"/>
        <v>0</v>
      </c>
      <c r="I68" s="380"/>
    </row>
    <row r="69" spans="1:9" s="60" customFormat="1" ht="18.75" customHeight="1">
      <c r="A69" s="161"/>
      <c r="B69" s="186" t="s">
        <v>656</v>
      </c>
      <c r="C69" s="101"/>
      <c r="D69" s="333"/>
      <c r="E69" s="333">
        <v>300</v>
      </c>
      <c r="F69" s="229"/>
      <c r="G69" s="229">
        <f t="shared" si="15"/>
        <v>-300</v>
      </c>
      <c r="H69" s="184">
        <f t="shared" si="16"/>
        <v>0</v>
      </c>
      <c r="I69" s="380"/>
    </row>
    <row r="70" spans="1:9" s="60" customFormat="1" ht="18.75" customHeight="1">
      <c r="A70" s="161"/>
      <c r="B70" s="186" t="s">
        <v>733</v>
      </c>
      <c r="C70" s="101"/>
      <c r="D70" s="333"/>
      <c r="E70" s="333"/>
      <c r="F70" s="229">
        <v>2000</v>
      </c>
      <c r="G70" s="229">
        <f t="shared" si="15"/>
        <v>2000</v>
      </c>
      <c r="H70" s="184"/>
      <c r="I70" s="380"/>
    </row>
    <row r="71" spans="1:9" s="212" customFormat="1" ht="18.75" customHeight="1">
      <c r="A71" s="161"/>
      <c r="B71" s="186" t="s">
        <v>657</v>
      </c>
      <c r="C71" s="101"/>
      <c r="D71" s="333">
        <v>4312</v>
      </c>
      <c r="E71" s="333">
        <v>3752</v>
      </c>
      <c r="F71" s="229">
        <v>2670</v>
      </c>
      <c r="G71" s="229">
        <f t="shared" si="15"/>
        <v>-1082</v>
      </c>
      <c r="H71" s="184">
        <f t="shared" si="16"/>
        <v>71.162046908315574</v>
      </c>
      <c r="I71" s="390"/>
    </row>
    <row r="72" spans="1:9" s="60" customFormat="1" ht="24.75" customHeight="1">
      <c r="A72" s="502" t="s">
        <v>234</v>
      </c>
      <c r="B72" s="502"/>
      <c r="C72" s="144"/>
      <c r="D72" s="231"/>
      <c r="E72" s="332"/>
      <c r="F72" s="231"/>
      <c r="G72" s="229">
        <f t="shared" si="15"/>
        <v>0</v>
      </c>
      <c r="H72" s="184"/>
      <c r="I72" s="380"/>
    </row>
    <row r="73" spans="1:9" s="60" customFormat="1" ht="43.5" customHeight="1">
      <c r="A73" s="503" t="s">
        <v>210</v>
      </c>
      <c r="B73" s="504"/>
      <c r="C73" s="211"/>
      <c r="D73" s="300"/>
      <c r="E73" s="409"/>
      <c r="F73" s="300"/>
      <c r="G73" s="229">
        <f t="shared" si="15"/>
        <v>0</v>
      </c>
      <c r="H73" s="184"/>
      <c r="I73" s="380"/>
    </row>
    <row r="74" spans="1:9" s="60" customFormat="1" ht="21">
      <c r="A74" s="513" t="s">
        <v>391</v>
      </c>
      <c r="B74" s="514"/>
      <c r="C74" s="144">
        <v>3240</v>
      </c>
      <c r="D74" s="231">
        <f>-P76</f>
        <v>0</v>
      </c>
      <c r="E74" s="332">
        <v>0</v>
      </c>
      <c r="F74" s="231">
        <v>0</v>
      </c>
      <c r="G74" s="231">
        <v>0</v>
      </c>
      <c r="H74" s="181">
        <v>0</v>
      </c>
      <c r="I74" s="380"/>
    </row>
    <row r="75" spans="1:9" s="60" customFormat="1" ht="21">
      <c r="A75" s="515" t="s">
        <v>218</v>
      </c>
      <c r="B75" s="515"/>
      <c r="C75" s="211"/>
      <c r="D75" s="300"/>
      <c r="E75" s="409"/>
      <c r="F75" s="300"/>
      <c r="G75" s="229">
        <f>SUM(H75:H75)</f>
        <v>0</v>
      </c>
      <c r="H75" s="184"/>
      <c r="I75" s="380"/>
    </row>
    <row r="76" spans="1:9" s="60" customFormat="1" ht="21">
      <c r="A76" s="516" t="s">
        <v>369</v>
      </c>
      <c r="B76" s="516"/>
      <c r="C76" s="101"/>
      <c r="D76" s="300"/>
      <c r="E76" s="409"/>
      <c r="F76" s="300"/>
      <c r="G76" s="229">
        <f>SUM(H76:H76)</f>
        <v>0</v>
      </c>
      <c r="H76" s="184"/>
      <c r="I76" s="380"/>
    </row>
    <row r="77" spans="1:9" s="60" customFormat="1" ht="21">
      <c r="A77" s="523" t="s">
        <v>393</v>
      </c>
      <c r="B77" s="524"/>
      <c r="C77" s="144">
        <v>3271</v>
      </c>
      <c r="D77" s="301">
        <v>0</v>
      </c>
      <c r="E77" s="301">
        <v>0</v>
      </c>
      <c r="F77" s="301">
        <v>0</v>
      </c>
      <c r="G77" s="231">
        <f>SUM(H77:H77)</f>
        <v>0</v>
      </c>
      <c r="H77" s="181">
        <v>0</v>
      </c>
      <c r="I77" s="380"/>
    </row>
    <row r="78" spans="1:9" s="60" customFormat="1" ht="36" hidden="1">
      <c r="A78" s="213"/>
      <c r="B78" s="186" t="s">
        <v>658</v>
      </c>
      <c r="C78" s="101"/>
      <c r="D78" s="302"/>
      <c r="E78" s="302"/>
      <c r="F78" s="302"/>
      <c r="G78" s="229"/>
      <c r="H78" s="184"/>
      <c r="I78" s="380"/>
    </row>
    <row r="79" spans="1:9" s="60" customFormat="1" ht="43.2" customHeight="1">
      <c r="A79" s="516" t="s">
        <v>659</v>
      </c>
      <c r="B79" s="516"/>
      <c r="C79" s="144">
        <v>3272</v>
      </c>
      <c r="D79" s="332">
        <f>SUM(D80:D92)</f>
        <v>32160.799999999999</v>
      </c>
      <c r="E79" s="332">
        <f>SUM(E80:E92)</f>
        <v>33335.9</v>
      </c>
      <c r="F79" s="231">
        <f>SUM(F80:F92)</f>
        <v>24528</v>
      </c>
      <c r="G79" s="231">
        <f t="shared" ref="G79" si="17">F79-E79</f>
        <v>-8807.9000000000015</v>
      </c>
      <c r="H79" s="181">
        <f t="shared" ref="H79" si="18">(F79/E79)*100</f>
        <v>73.578334468245941</v>
      </c>
      <c r="I79" s="380"/>
    </row>
    <row r="80" spans="1:9" s="60" customFormat="1" ht="21">
      <c r="A80" s="102">
        <v>1</v>
      </c>
      <c r="B80" s="186" t="s">
        <v>734</v>
      </c>
      <c r="C80" s="101"/>
      <c r="D80" s="333"/>
      <c r="E80" s="333"/>
      <c r="F80" s="229">
        <v>1383</v>
      </c>
      <c r="G80" s="229">
        <f t="shared" ref="G80" si="19">F80-E80</f>
        <v>1383</v>
      </c>
      <c r="H80" s="184"/>
      <c r="I80" s="380"/>
    </row>
    <row r="81" spans="1:10" s="60" customFormat="1" ht="21">
      <c r="A81" s="102">
        <v>2</v>
      </c>
      <c r="B81" s="186" t="s">
        <v>735</v>
      </c>
      <c r="C81" s="101"/>
      <c r="D81" s="333"/>
      <c r="E81" s="333"/>
      <c r="F81" s="229">
        <v>372</v>
      </c>
      <c r="G81" s="229">
        <f t="shared" ref="G81:G92" si="20">F81-E81</f>
        <v>372</v>
      </c>
      <c r="H81" s="184"/>
      <c r="I81" s="380"/>
    </row>
    <row r="82" spans="1:10" s="60" customFormat="1" ht="21">
      <c r="A82" s="102">
        <v>3</v>
      </c>
      <c r="B82" s="186" t="s">
        <v>736</v>
      </c>
      <c r="C82" s="101"/>
      <c r="D82" s="333"/>
      <c r="E82" s="333"/>
      <c r="F82" s="229">
        <v>293</v>
      </c>
      <c r="G82" s="229">
        <f t="shared" si="20"/>
        <v>293</v>
      </c>
      <c r="H82" s="184"/>
      <c r="I82" s="380"/>
    </row>
    <row r="83" spans="1:10" s="60" customFormat="1" ht="21">
      <c r="A83" s="102">
        <v>4</v>
      </c>
      <c r="B83" s="186" t="s">
        <v>737</v>
      </c>
      <c r="C83" s="101"/>
      <c r="D83" s="333"/>
      <c r="E83" s="333"/>
      <c r="F83" s="229">
        <v>57</v>
      </c>
      <c r="G83" s="229">
        <f t="shared" si="20"/>
        <v>57</v>
      </c>
      <c r="H83" s="184"/>
      <c r="I83" s="380"/>
    </row>
    <row r="84" spans="1:10" s="60" customFormat="1" ht="21">
      <c r="A84" s="102">
        <v>5</v>
      </c>
      <c r="B84" s="186" t="s">
        <v>578</v>
      </c>
      <c r="C84" s="101"/>
      <c r="D84" s="333">
        <v>22</v>
      </c>
      <c r="E84" s="333"/>
      <c r="F84" s="229">
        <v>26</v>
      </c>
      <c r="G84" s="229">
        <f t="shared" si="20"/>
        <v>26</v>
      </c>
      <c r="H84" s="184"/>
      <c r="I84" s="380"/>
    </row>
    <row r="85" spans="1:10" s="60" customFormat="1" ht="21">
      <c r="A85" s="102">
        <v>6</v>
      </c>
      <c r="B85" s="186" t="s">
        <v>580</v>
      </c>
      <c r="C85" s="101"/>
      <c r="D85" s="333"/>
      <c r="E85" s="333"/>
      <c r="F85" s="229">
        <v>50</v>
      </c>
      <c r="G85" s="229">
        <f t="shared" si="20"/>
        <v>50</v>
      </c>
      <c r="H85" s="184"/>
      <c r="I85" s="380"/>
    </row>
    <row r="86" spans="1:10" s="60" customFormat="1" ht="40.200000000000003" customHeight="1">
      <c r="A86" s="102">
        <v>7</v>
      </c>
      <c r="B86" s="186" t="s">
        <v>700</v>
      </c>
      <c r="C86" s="101"/>
      <c r="D86" s="333"/>
      <c r="E86" s="333">
        <v>32935.9</v>
      </c>
      <c r="F86" s="388">
        <v>22154</v>
      </c>
      <c r="G86" s="229">
        <f t="shared" si="20"/>
        <v>-10781.900000000001</v>
      </c>
      <c r="H86" s="184">
        <f t="shared" ref="H86:H91" si="21">(F86/E86)*100</f>
        <v>67.263988535306453</v>
      </c>
      <c r="I86" s="381">
        <v>34335866</v>
      </c>
      <c r="J86" s="60" t="s">
        <v>790</v>
      </c>
    </row>
    <row r="87" spans="1:10" s="60" customFormat="1" ht="21">
      <c r="A87" s="102">
        <v>8</v>
      </c>
      <c r="B87" s="186" t="s">
        <v>660</v>
      </c>
      <c r="C87" s="101"/>
      <c r="D87" s="333"/>
      <c r="E87" s="333"/>
      <c r="F87" s="229">
        <v>26</v>
      </c>
      <c r="G87" s="229">
        <f t="shared" si="20"/>
        <v>26</v>
      </c>
      <c r="H87" s="184"/>
      <c r="I87" s="381"/>
    </row>
    <row r="88" spans="1:10" s="60" customFormat="1" ht="21">
      <c r="A88" s="102">
        <v>9</v>
      </c>
      <c r="B88" s="186" t="s">
        <v>583</v>
      </c>
      <c r="C88" s="101"/>
      <c r="D88" s="333">
        <v>127.2</v>
      </c>
      <c r="E88" s="333"/>
      <c r="F88" s="229"/>
      <c r="G88" s="229">
        <f t="shared" si="20"/>
        <v>0</v>
      </c>
      <c r="H88" s="184"/>
      <c r="I88" s="381"/>
    </row>
    <row r="89" spans="1:10" s="60" customFormat="1" ht="21">
      <c r="A89" s="102">
        <v>10</v>
      </c>
      <c r="B89" s="186" t="s">
        <v>738</v>
      </c>
      <c r="C89" s="101"/>
      <c r="D89" s="333"/>
      <c r="E89" s="333"/>
      <c r="F89" s="229">
        <v>68</v>
      </c>
      <c r="G89" s="229">
        <f t="shared" si="20"/>
        <v>68</v>
      </c>
      <c r="H89" s="184"/>
      <c r="I89" s="381"/>
    </row>
    <row r="90" spans="1:10" s="60" customFormat="1" ht="21">
      <c r="A90" s="102">
        <v>11</v>
      </c>
      <c r="B90" s="186" t="s">
        <v>739</v>
      </c>
      <c r="C90" s="101"/>
      <c r="D90" s="333"/>
      <c r="E90" s="333"/>
      <c r="F90" s="229">
        <v>99</v>
      </c>
      <c r="G90" s="229">
        <f t="shared" si="20"/>
        <v>99</v>
      </c>
      <c r="H90" s="184"/>
      <c r="I90" s="381"/>
    </row>
    <row r="91" spans="1:10" s="60" customFormat="1" ht="24" customHeight="1">
      <c r="A91" s="102">
        <v>12</v>
      </c>
      <c r="B91" s="186" t="s">
        <v>584</v>
      </c>
      <c r="C91" s="101"/>
      <c r="D91" s="333"/>
      <c r="E91" s="333">
        <v>400</v>
      </c>
      <c r="F91" s="229"/>
      <c r="G91" s="229">
        <f t="shared" si="20"/>
        <v>-400</v>
      </c>
      <c r="H91" s="184">
        <f t="shared" si="21"/>
        <v>0</v>
      </c>
      <c r="I91" s="381"/>
    </row>
    <row r="92" spans="1:10" s="60" customFormat="1" ht="24.6" customHeight="1">
      <c r="A92" s="102">
        <v>13</v>
      </c>
      <c r="B92" s="186" t="s">
        <v>585</v>
      </c>
      <c r="C92" s="101"/>
      <c r="D92" s="333">
        <v>32011.599999999999</v>
      </c>
      <c r="E92" s="333"/>
      <c r="F92" s="229"/>
      <c r="G92" s="229">
        <f t="shared" si="20"/>
        <v>0</v>
      </c>
      <c r="H92" s="184"/>
      <c r="I92" s="381"/>
    </row>
    <row r="93" spans="1:10" s="60" customFormat="1" ht="42.6" customHeight="1">
      <c r="A93" s="516" t="s">
        <v>394</v>
      </c>
      <c r="B93" s="516"/>
      <c r="C93" s="144">
        <v>3274</v>
      </c>
      <c r="D93" s="231">
        <f t="shared" ref="D93:H93" si="22">D94</f>
        <v>4</v>
      </c>
      <c r="E93" s="332">
        <f t="shared" si="22"/>
        <v>20</v>
      </c>
      <c r="F93" s="231">
        <f t="shared" si="22"/>
        <v>5</v>
      </c>
      <c r="G93" s="231">
        <f t="shared" si="22"/>
        <v>-15</v>
      </c>
      <c r="H93" s="181">
        <f t="shared" si="22"/>
        <v>25</v>
      </c>
      <c r="I93" s="381"/>
    </row>
    <row r="94" spans="1:10" s="60" customFormat="1" ht="21">
      <c r="A94" s="213" t="s">
        <v>661</v>
      </c>
      <c r="B94" s="186" t="s">
        <v>588</v>
      </c>
      <c r="C94" s="101"/>
      <c r="D94" s="229">
        <v>4</v>
      </c>
      <c r="E94" s="333">
        <v>20</v>
      </c>
      <c r="F94" s="229">
        <v>5</v>
      </c>
      <c r="G94" s="229">
        <f t="shared" ref="G94" si="23">F94-E94</f>
        <v>-15</v>
      </c>
      <c r="H94" s="184">
        <f t="shared" ref="H94:H95" si="24">(F94/E94)*100</f>
        <v>25</v>
      </c>
      <c r="I94" s="381"/>
    </row>
    <row r="95" spans="1:10" s="60" customFormat="1" ht="57" customHeight="1">
      <c r="A95" s="516" t="s">
        <v>662</v>
      </c>
      <c r="B95" s="516"/>
      <c r="C95" s="144">
        <v>3275</v>
      </c>
      <c r="D95" s="332">
        <f>SUM(D96:D100)</f>
        <v>32981.5</v>
      </c>
      <c r="E95" s="332">
        <f>SUM(E96:E100)</f>
        <v>80678.7</v>
      </c>
      <c r="F95" s="231">
        <f>SUM(F96:F100)</f>
        <v>75584</v>
      </c>
      <c r="G95" s="231">
        <f>F95-E95</f>
        <v>-5094.6999999999971</v>
      </c>
      <c r="H95" s="181">
        <f t="shared" si="24"/>
        <v>93.685198199772685</v>
      </c>
      <c r="I95" s="381"/>
    </row>
    <row r="96" spans="1:10" s="60" customFormat="1" ht="21">
      <c r="A96" s="213" t="s">
        <v>661</v>
      </c>
      <c r="B96" s="204" t="s">
        <v>663</v>
      </c>
      <c r="C96" s="214"/>
      <c r="D96" s="333"/>
      <c r="E96" s="229"/>
      <c r="F96" s="229">
        <v>295</v>
      </c>
      <c r="G96" s="229">
        <f t="shared" ref="G96" si="25">F96-E96</f>
        <v>295</v>
      </c>
      <c r="H96" s="184"/>
      <c r="I96" s="381"/>
    </row>
    <row r="97" spans="1:9" s="60" customFormat="1" ht="36">
      <c r="A97" s="213" t="s">
        <v>664</v>
      </c>
      <c r="B97" s="186" t="s">
        <v>595</v>
      </c>
      <c r="C97" s="214"/>
      <c r="D97" s="333">
        <v>32928.400000000001</v>
      </c>
      <c r="E97" s="229"/>
      <c r="F97" s="229"/>
      <c r="G97" s="229">
        <f t="shared" ref="G97:G100" si="26">F97-E97</f>
        <v>0</v>
      </c>
      <c r="H97" s="184"/>
      <c r="I97" s="381"/>
    </row>
    <row r="98" spans="1:9" s="60" customFormat="1" ht="21">
      <c r="A98" s="213" t="s">
        <v>665</v>
      </c>
      <c r="B98" s="202" t="s">
        <v>687</v>
      </c>
      <c r="C98" s="214"/>
      <c r="D98" s="333">
        <v>53.1</v>
      </c>
      <c r="E98" s="333"/>
      <c r="F98" s="229"/>
      <c r="G98" s="229">
        <f t="shared" si="26"/>
        <v>0</v>
      </c>
      <c r="H98" s="184"/>
      <c r="I98" s="381"/>
    </row>
    <row r="99" spans="1:9" s="60" customFormat="1" ht="21">
      <c r="A99" s="213" t="s">
        <v>668</v>
      </c>
      <c r="B99" s="202" t="s">
        <v>669</v>
      </c>
      <c r="C99" s="101"/>
      <c r="D99" s="229"/>
      <c r="E99" s="333">
        <v>78678.7</v>
      </c>
      <c r="F99" s="388">
        <v>74440</v>
      </c>
      <c r="G99" s="229">
        <f t="shared" si="26"/>
        <v>-4238.6999999999971</v>
      </c>
      <c r="H99" s="184">
        <f t="shared" ref="H99:H100" si="27">(F99/E99)*100</f>
        <v>94.612646116420336</v>
      </c>
      <c r="I99" s="381">
        <v>77278734</v>
      </c>
    </row>
    <row r="100" spans="1:9" s="60" customFormat="1" ht="36">
      <c r="A100" s="213" t="s">
        <v>666</v>
      </c>
      <c r="B100" s="186" t="s">
        <v>596</v>
      </c>
      <c r="C100" s="101"/>
      <c r="D100" s="229"/>
      <c r="E100" s="333">
        <v>2000</v>
      </c>
      <c r="F100" s="229">
        <v>849</v>
      </c>
      <c r="G100" s="229">
        <f t="shared" si="26"/>
        <v>-1151</v>
      </c>
      <c r="H100" s="184">
        <f t="shared" si="27"/>
        <v>42.449999999999996</v>
      </c>
      <c r="I100" s="381">
        <v>2000</v>
      </c>
    </row>
    <row r="101" spans="1:9" s="60" customFormat="1" ht="21">
      <c r="A101" s="516" t="s">
        <v>670</v>
      </c>
      <c r="B101" s="516"/>
      <c r="C101" s="144">
        <v>3276</v>
      </c>
      <c r="D101" s="231">
        <f>SUM(D102:D107)</f>
        <v>0</v>
      </c>
      <c r="E101" s="332">
        <f>SUM(E102:E107)</f>
        <v>12578.1</v>
      </c>
      <c r="F101" s="231">
        <f>SUM(F102:F107)</f>
        <v>0</v>
      </c>
      <c r="G101" s="231">
        <f>SUM(G102:G107)</f>
        <v>-12578.1</v>
      </c>
      <c r="H101" s="181"/>
      <c r="I101" s="380"/>
    </row>
    <row r="102" spans="1:9" s="60" customFormat="1" ht="54">
      <c r="A102" s="215" t="s">
        <v>661</v>
      </c>
      <c r="B102" s="186" t="s">
        <v>594</v>
      </c>
      <c r="C102" s="101"/>
      <c r="D102" s="229"/>
      <c r="E102" s="333">
        <v>1145</v>
      </c>
      <c r="F102" s="229"/>
      <c r="G102" s="229">
        <f t="shared" ref="G102:G109" si="28">F102-E102</f>
        <v>-1145</v>
      </c>
      <c r="H102" s="184">
        <f t="shared" ref="H102:H107" si="29">(F102/E102)*100</f>
        <v>0</v>
      </c>
      <c r="I102" s="380"/>
    </row>
    <row r="103" spans="1:9" s="60" customFormat="1" ht="36">
      <c r="A103" s="215" t="s">
        <v>664</v>
      </c>
      <c r="B103" s="186" t="s">
        <v>589</v>
      </c>
      <c r="C103" s="101"/>
      <c r="D103" s="229"/>
      <c r="E103" s="333">
        <v>1102</v>
      </c>
      <c r="F103" s="229"/>
      <c r="G103" s="229">
        <f t="shared" si="28"/>
        <v>-1102</v>
      </c>
      <c r="H103" s="184">
        <f t="shared" si="29"/>
        <v>0</v>
      </c>
      <c r="I103" s="380"/>
    </row>
    <row r="104" spans="1:9" s="60" customFormat="1" ht="36">
      <c r="A104" s="215" t="s">
        <v>665</v>
      </c>
      <c r="B104" s="186" t="s">
        <v>671</v>
      </c>
      <c r="C104" s="101"/>
      <c r="D104" s="229"/>
      <c r="E104" s="333">
        <v>1497.9</v>
      </c>
      <c r="F104" s="229"/>
      <c r="G104" s="229">
        <f t="shared" si="28"/>
        <v>-1497.9</v>
      </c>
      <c r="H104" s="184">
        <f t="shared" si="29"/>
        <v>0</v>
      </c>
      <c r="I104" s="380"/>
    </row>
    <row r="105" spans="1:9" s="60" customFormat="1" ht="54">
      <c r="A105" s="215" t="s">
        <v>668</v>
      </c>
      <c r="B105" s="186" t="s">
        <v>591</v>
      </c>
      <c r="C105" s="101"/>
      <c r="D105" s="229"/>
      <c r="E105" s="333">
        <v>1716</v>
      </c>
      <c r="F105" s="229"/>
      <c r="G105" s="229">
        <f t="shared" si="28"/>
        <v>-1716</v>
      </c>
      <c r="H105" s="184">
        <f t="shared" si="29"/>
        <v>0</v>
      </c>
      <c r="I105" s="380"/>
    </row>
    <row r="106" spans="1:9" s="60" customFormat="1" ht="54">
      <c r="A106" s="215" t="s">
        <v>666</v>
      </c>
      <c r="B106" s="186" t="s">
        <v>592</v>
      </c>
      <c r="C106" s="101"/>
      <c r="D106" s="229"/>
      <c r="E106" s="333">
        <v>6055</v>
      </c>
      <c r="F106" s="229"/>
      <c r="G106" s="229">
        <f t="shared" si="28"/>
        <v>-6055</v>
      </c>
      <c r="H106" s="184">
        <f t="shared" si="29"/>
        <v>0</v>
      </c>
      <c r="I106" s="380"/>
    </row>
    <row r="107" spans="1:9" s="60" customFormat="1" ht="72">
      <c r="A107" s="215" t="s">
        <v>667</v>
      </c>
      <c r="B107" s="186" t="s">
        <v>593</v>
      </c>
      <c r="C107" s="101"/>
      <c r="D107" s="229"/>
      <c r="E107" s="333">
        <v>1062.2</v>
      </c>
      <c r="F107" s="229"/>
      <c r="G107" s="229">
        <f t="shared" si="28"/>
        <v>-1062.2</v>
      </c>
      <c r="H107" s="184">
        <f t="shared" si="29"/>
        <v>0</v>
      </c>
      <c r="I107" s="380"/>
    </row>
    <row r="108" spans="1:9" s="60" customFormat="1" ht="21">
      <c r="A108" s="518" t="s">
        <v>235</v>
      </c>
      <c r="B108" s="518"/>
      <c r="C108" s="144">
        <v>3300</v>
      </c>
      <c r="D108" s="231"/>
      <c r="E108" s="231"/>
      <c r="F108" s="231"/>
      <c r="G108" s="229">
        <f t="shared" si="28"/>
        <v>0</v>
      </c>
      <c r="H108" s="184"/>
      <c r="I108" s="380"/>
    </row>
    <row r="109" spans="1:9" s="60" customFormat="1" ht="21">
      <c r="A109" s="515" t="s">
        <v>211</v>
      </c>
      <c r="B109" s="515"/>
      <c r="C109" s="101"/>
      <c r="D109" s="229"/>
      <c r="E109" s="333"/>
      <c r="F109" s="229"/>
      <c r="G109" s="229">
        <f t="shared" si="28"/>
        <v>0</v>
      </c>
      <c r="H109" s="184"/>
      <c r="I109" s="380"/>
    </row>
    <row r="110" spans="1:9" s="60" customFormat="1" ht="21">
      <c r="A110" s="516" t="s">
        <v>391</v>
      </c>
      <c r="B110" s="516"/>
      <c r="C110" s="144">
        <v>3330</v>
      </c>
      <c r="D110" s="332">
        <f>SUM(D111:D111)</f>
        <v>149</v>
      </c>
      <c r="E110" s="332">
        <f>SUM(E111:E111)</f>
        <v>280</v>
      </c>
      <c r="F110" s="231">
        <f t="shared" ref="F110:H110" si="30">SUM(F111:F111)</f>
        <v>735</v>
      </c>
      <c r="G110" s="231">
        <f t="shared" si="30"/>
        <v>455</v>
      </c>
      <c r="H110" s="181">
        <f t="shared" si="30"/>
        <v>262.5</v>
      </c>
      <c r="I110" s="380"/>
    </row>
    <row r="111" spans="1:9" s="60" customFormat="1" ht="21">
      <c r="A111" s="102">
        <v>1</v>
      </c>
      <c r="B111" s="186" t="s">
        <v>672</v>
      </c>
      <c r="C111" s="101"/>
      <c r="D111" s="333">
        <v>149</v>
      </c>
      <c r="E111" s="333">
        <v>280</v>
      </c>
      <c r="F111" s="229">
        <v>735</v>
      </c>
      <c r="G111" s="229">
        <f t="shared" ref="G111" si="31">F111-E111</f>
        <v>455</v>
      </c>
      <c r="H111" s="184">
        <f t="shared" ref="H111" si="32">(F111/E111)*100</f>
        <v>262.5</v>
      </c>
      <c r="I111" s="380"/>
    </row>
    <row r="112" spans="1:9" s="60" customFormat="1" ht="21">
      <c r="A112" s="519" t="s">
        <v>219</v>
      </c>
      <c r="B112" s="520"/>
      <c r="C112" s="101"/>
      <c r="D112" s="332"/>
      <c r="E112" s="332"/>
      <c r="F112" s="231"/>
      <c r="G112" s="229">
        <f t="shared" ref="G112" si="33">F112-E112</f>
        <v>0</v>
      </c>
      <c r="H112" s="184"/>
      <c r="I112" s="380"/>
    </row>
    <row r="113" spans="1:9" s="60" customFormat="1" ht="21">
      <c r="A113" s="521" t="s">
        <v>206</v>
      </c>
      <c r="B113" s="522"/>
      <c r="C113" s="144">
        <v>3390</v>
      </c>
      <c r="D113" s="332">
        <f>D114+D117</f>
        <v>3988</v>
      </c>
      <c r="E113" s="332">
        <f>E114+E117</f>
        <v>6896.3</v>
      </c>
      <c r="F113" s="231">
        <f t="shared" ref="F113:H113" si="34">F114+F117</f>
        <v>7110</v>
      </c>
      <c r="G113" s="231">
        <f t="shared" si="34"/>
        <v>213.69999999999982</v>
      </c>
      <c r="H113" s="181">
        <f t="shared" si="34"/>
        <v>205.64017891952159</v>
      </c>
      <c r="I113" s="380"/>
    </row>
    <row r="114" spans="1:9" s="60" customFormat="1" ht="21">
      <c r="A114" s="102">
        <v>1</v>
      </c>
      <c r="B114" s="186" t="s">
        <v>511</v>
      </c>
      <c r="C114" s="101"/>
      <c r="D114" s="333">
        <v>2312.4</v>
      </c>
      <c r="E114" s="333">
        <v>2989.3</v>
      </c>
      <c r="F114" s="297">
        <f>F115+F116</f>
        <v>3011</v>
      </c>
      <c r="G114" s="229">
        <f t="shared" ref="G114" si="35">F114-E114</f>
        <v>21.699999999999818</v>
      </c>
      <c r="H114" s="184">
        <f t="shared" ref="H114" si="36">(F114/E114)*100</f>
        <v>100.72592245676245</v>
      </c>
      <c r="I114" s="380"/>
    </row>
    <row r="115" spans="1:9" s="60" customFormat="1" ht="21">
      <c r="A115" s="102" t="s">
        <v>417</v>
      </c>
      <c r="B115" s="186" t="s">
        <v>512</v>
      </c>
      <c r="C115" s="101"/>
      <c r="D115" s="333">
        <v>698.9</v>
      </c>
      <c r="E115" s="335">
        <v>412.6</v>
      </c>
      <c r="F115" s="297">
        <v>435</v>
      </c>
      <c r="G115" s="229">
        <f t="shared" ref="G115:G119" si="37">F115-E115</f>
        <v>22.399999999999977</v>
      </c>
      <c r="H115" s="184">
        <f t="shared" ref="H115:H119" si="38">(F115/E115)*100</f>
        <v>105.42898691226368</v>
      </c>
      <c r="I115" s="380"/>
    </row>
    <row r="116" spans="1:9" s="60" customFormat="1" ht="21">
      <c r="A116" s="102" t="s">
        <v>417</v>
      </c>
      <c r="B116" s="186" t="s">
        <v>513</v>
      </c>
      <c r="C116" s="101"/>
      <c r="D116" s="333">
        <v>1613.5</v>
      </c>
      <c r="E116" s="335">
        <v>2576.6999999999998</v>
      </c>
      <c r="F116" s="297">
        <v>2576</v>
      </c>
      <c r="G116" s="229">
        <f t="shared" si="37"/>
        <v>-0.6999999999998181</v>
      </c>
      <c r="H116" s="184">
        <f t="shared" si="38"/>
        <v>99.972833469165991</v>
      </c>
      <c r="I116" s="380"/>
    </row>
    <row r="117" spans="1:9" s="60" customFormat="1" ht="21">
      <c r="A117" s="102">
        <v>2</v>
      </c>
      <c r="B117" s="186" t="s">
        <v>514</v>
      </c>
      <c r="C117" s="101"/>
      <c r="D117" s="333">
        <v>1675.6</v>
      </c>
      <c r="E117" s="333">
        <v>3907</v>
      </c>
      <c r="F117" s="297">
        <f>F118+F119</f>
        <v>4099</v>
      </c>
      <c r="G117" s="229">
        <f t="shared" si="37"/>
        <v>192</v>
      </c>
      <c r="H117" s="184">
        <f t="shared" si="38"/>
        <v>104.91425646275916</v>
      </c>
      <c r="I117" s="380"/>
    </row>
    <row r="118" spans="1:9" s="60" customFormat="1" ht="21">
      <c r="A118" s="102" t="s">
        <v>417</v>
      </c>
      <c r="B118" s="186" t="s">
        <v>515</v>
      </c>
      <c r="C118" s="101"/>
      <c r="D118" s="333">
        <v>390.1</v>
      </c>
      <c r="E118" s="335">
        <v>241.4</v>
      </c>
      <c r="F118" s="297"/>
      <c r="G118" s="229">
        <f t="shared" si="37"/>
        <v>-241.4</v>
      </c>
      <c r="H118" s="184">
        <f t="shared" si="38"/>
        <v>0</v>
      </c>
      <c r="I118" s="380"/>
    </row>
    <row r="119" spans="1:9" s="60" customFormat="1" ht="21">
      <c r="A119" s="102" t="s">
        <v>417</v>
      </c>
      <c r="B119" s="186" t="s">
        <v>673</v>
      </c>
      <c r="C119" s="101"/>
      <c r="D119" s="333">
        <v>1285.5999999999999</v>
      </c>
      <c r="E119" s="335">
        <v>3665.6</v>
      </c>
      <c r="F119" s="297">
        <v>4099</v>
      </c>
      <c r="G119" s="229">
        <f t="shared" si="37"/>
        <v>433.40000000000009</v>
      </c>
      <c r="H119" s="184">
        <f t="shared" si="38"/>
        <v>111.82343954604977</v>
      </c>
      <c r="I119" s="380"/>
    </row>
    <row r="120" spans="1:9" s="60" customFormat="1" ht="75.599999999999994" customHeight="1">
      <c r="A120" s="118"/>
      <c r="B120" s="216"/>
      <c r="C120" s="217"/>
      <c r="D120" s="116"/>
      <c r="E120" s="116"/>
      <c r="F120" s="116"/>
      <c r="G120" s="116" t="s">
        <v>361</v>
      </c>
      <c r="H120" s="116"/>
      <c r="I120" s="380"/>
    </row>
    <row r="121" spans="1:9" s="157" customFormat="1" ht="28.5" customHeight="1">
      <c r="A121" s="517" t="s">
        <v>674</v>
      </c>
      <c r="B121" s="517"/>
      <c r="C121" s="511" t="s">
        <v>791</v>
      </c>
      <c r="D121" s="511"/>
      <c r="E121" s="511"/>
      <c r="F121" s="512" t="s">
        <v>570</v>
      </c>
      <c r="G121" s="512"/>
      <c r="H121" s="512"/>
      <c r="I121" s="411"/>
    </row>
    <row r="122" spans="1:9">
      <c r="B122" s="123"/>
    </row>
    <row r="123" spans="1:9">
      <c r="B123" s="123"/>
    </row>
    <row r="124" spans="1:9">
      <c r="B124" s="123"/>
    </row>
    <row r="125" spans="1:9">
      <c r="B125" s="123"/>
    </row>
    <row r="126" spans="1:9">
      <c r="B126" s="123"/>
    </row>
    <row r="127" spans="1:9">
      <c r="B127" s="123"/>
    </row>
    <row r="128" spans="1:9">
      <c r="B128" s="123"/>
    </row>
    <row r="129" spans="2:2">
      <c r="B129" s="123"/>
    </row>
    <row r="130" spans="2:2">
      <c r="B130" s="123"/>
    </row>
    <row r="131" spans="2:2">
      <c r="B131" s="123"/>
    </row>
    <row r="132" spans="2:2">
      <c r="B132" s="123"/>
    </row>
    <row r="133" spans="2:2">
      <c r="B133" s="123"/>
    </row>
    <row r="134" spans="2:2">
      <c r="B134" s="123"/>
    </row>
    <row r="135" spans="2:2">
      <c r="B135" s="123"/>
    </row>
    <row r="136" spans="2:2">
      <c r="B136" s="123"/>
    </row>
    <row r="137" spans="2:2">
      <c r="B137" s="123"/>
    </row>
    <row r="138" spans="2:2">
      <c r="B138" s="123"/>
    </row>
    <row r="139" spans="2:2">
      <c r="B139" s="123"/>
    </row>
    <row r="140" spans="2:2">
      <c r="B140" s="123"/>
    </row>
    <row r="141" spans="2:2">
      <c r="B141" s="123"/>
    </row>
    <row r="142" spans="2:2">
      <c r="B142" s="123"/>
    </row>
    <row r="143" spans="2:2">
      <c r="B143" s="123"/>
    </row>
    <row r="144" spans="2:2">
      <c r="B144" s="123"/>
    </row>
    <row r="145" spans="2:2">
      <c r="B145" s="123"/>
    </row>
    <row r="146" spans="2:2">
      <c r="B146" s="123"/>
    </row>
    <row r="147" spans="2:2">
      <c r="B147" s="123"/>
    </row>
    <row r="148" spans="2:2">
      <c r="B148" s="123"/>
    </row>
    <row r="149" spans="2:2">
      <c r="B149" s="123"/>
    </row>
    <row r="150" spans="2:2">
      <c r="B150" s="123"/>
    </row>
    <row r="151" spans="2:2">
      <c r="B151" s="123"/>
    </row>
    <row r="152" spans="2:2">
      <c r="B152" s="123"/>
    </row>
    <row r="153" spans="2:2">
      <c r="B153" s="123"/>
    </row>
    <row r="154" spans="2:2">
      <c r="B154" s="123"/>
    </row>
    <row r="155" spans="2:2">
      <c r="B155" s="123"/>
    </row>
    <row r="156" spans="2:2">
      <c r="B156" s="123"/>
    </row>
    <row r="157" spans="2:2">
      <c r="B157" s="123"/>
    </row>
    <row r="158" spans="2:2">
      <c r="B158" s="123"/>
    </row>
    <row r="159" spans="2:2">
      <c r="B159" s="123"/>
    </row>
    <row r="160" spans="2:2">
      <c r="B160" s="123"/>
    </row>
    <row r="161" spans="2:2">
      <c r="B161" s="123"/>
    </row>
    <row r="162" spans="2:2">
      <c r="B162" s="123"/>
    </row>
    <row r="163" spans="2:2">
      <c r="B163" s="123"/>
    </row>
    <row r="164" spans="2:2">
      <c r="B164" s="123"/>
    </row>
    <row r="165" spans="2:2">
      <c r="B165" s="123"/>
    </row>
    <row r="166" spans="2:2">
      <c r="B166" s="123"/>
    </row>
    <row r="167" spans="2:2">
      <c r="B167" s="123"/>
    </row>
    <row r="168" spans="2:2">
      <c r="B168" s="123"/>
    </row>
    <row r="169" spans="2:2">
      <c r="B169" s="123"/>
    </row>
    <row r="170" spans="2:2">
      <c r="B170" s="123"/>
    </row>
    <row r="171" spans="2:2">
      <c r="B171" s="123"/>
    </row>
    <row r="172" spans="2:2">
      <c r="B172" s="123"/>
    </row>
    <row r="173" spans="2:2">
      <c r="B173" s="123"/>
    </row>
    <row r="174" spans="2:2">
      <c r="B174" s="123"/>
    </row>
    <row r="175" spans="2:2">
      <c r="B175" s="123"/>
    </row>
    <row r="176" spans="2:2">
      <c r="B176" s="123"/>
    </row>
    <row r="177" spans="2:2">
      <c r="B177" s="123"/>
    </row>
    <row r="178" spans="2:2">
      <c r="B178" s="123"/>
    </row>
    <row r="179" spans="2:2">
      <c r="B179" s="123"/>
    </row>
    <row r="180" spans="2:2">
      <c r="B180" s="123"/>
    </row>
    <row r="181" spans="2:2">
      <c r="B181" s="123"/>
    </row>
    <row r="182" spans="2:2">
      <c r="B182" s="123"/>
    </row>
    <row r="183" spans="2:2">
      <c r="B183" s="123"/>
    </row>
    <row r="184" spans="2:2">
      <c r="B184" s="123"/>
    </row>
    <row r="185" spans="2:2">
      <c r="B185" s="123"/>
    </row>
    <row r="186" spans="2:2">
      <c r="B186" s="123"/>
    </row>
    <row r="187" spans="2:2">
      <c r="B187" s="123"/>
    </row>
    <row r="188" spans="2:2">
      <c r="B188" s="123"/>
    </row>
    <row r="189" spans="2:2">
      <c r="B189" s="123"/>
    </row>
    <row r="190" spans="2:2">
      <c r="B190" s="123"/>
    </row>
    <row r="191" spans="2:2">
      <c r="B191" s="123"/>
    </row>
    <row r="192" spans="2:2">
      <c r="B192" s="123"/>
    </row>
    <row r="193" spans="2:2">
      <c r="B193" s="123"/>
    </row>
    <row r="194" spans="2:2">
      <c r="B194" s="123"/>
    </row>
    <row r="195" spans="2:2">
      <c r="B195" s="123"/>
    </row>
    <row r="196" spans="2:2">
      <c r="B196" s="123"/>
    </row>
    <row r="197" spans="2:2">
      <c r="B197" s="123"/>
    </row>
    <row r="198" spans="2:2">
      <c r="B198" s="123"/>
    </row>
    <row r="199" spans="2:2">
      <c r="B199" s="123"/>
    </row>
    <row r="200" spans="2:2">
      <c r="B200" s="123"/>
    </row>
    <row r="201" spans="2:2">
      <c r="B201" s="123"/>
    </row>
    <row r="202" spans="2:2">
      <c r="B202" s="123"/>
    </row>
    <row r="203" spans="2:2">
      <c r="B203" s="123"/>
    </row>
    <row r="204" spans="2:2">
      <c r="B204" s="123"/>
    </row>
    <row r="205" spans="2:2">
      <c r="B205" s="123"/>
    </row>
    <row r="206" spans="2:2">
      <c r="B206" s="123"/>
    </row>
    <row r="207" spans="2:2">
      <c r="B207" s="123"/>
    </row>
    <row r="208" spans="2:2">
      <c r="B208" s="123"/>
    </row>
    <row r="209" spans="2:2">
      <c r="B209" s="123"/>
    </row>
    <row r="210" spans="2:2">
      <c r="B210" s="123"/>
    </row>
    <row r="211" spans="2:2">
      <c r="B211" s="123"/>
    </row>
    <row r="212" spans="2:2">
      <c r="B212" s="123"/>
    </row>
    <row r="213" spans="2:2">
      <c r="B213" s="123"/>
    </row>
    <row r="214" spans="2:2">
      <c r="B214" s="123"/>
    </row>
    <row r="215" spans="2:2">
      <c r="B215" s="123"/>
    </row>
    <row r="216" spans="2:2">
      <c r="B216" s="123"/>
    </row>
    <row r="217" spans="2:2">
      <c r="B217" s="123"/>
    </row>
    <row r="218" spans="2:2">
      <c r="B218" s="123"/>
    </row>
    <row r="219" spans="2:2">
      <c r="B219" s="123"/>
    </row>
    <row r="220" spans="2:2">
      <c r="B220" s="123"/>
    </row>
    <row r="221" spans="2:2">
      <c r="B221" s="123"/>
    </row>
    <row r="222" spans="2:2">
      <c r="B222" s="123"/>
    </row>
    <row r="223" spans="2:2">
      <c r="B223" s="123"/>
    </row>
    <row r="224" spans="2:2">
      <c r="B224" s="123"/>
    </row>
    <row r="225" spans="2:2">
      <c r="B225" s="123"/>
    </row>
    <row r="226" spans="2:2">
      <c r="B226" s="123"/>
    </row>
    <row r="227" spans="2:2">
      <c r="B227" s="123"/>
    </row>
    <row r="228" spans="2:2">
      <c r="B228" s="123"/>
    </row>
    <row r="229" spans="2:2">
      <c r="B229" s="123"/>
    </row>
    <row r="230" spans="2:2">
      <c r="B230" s="123"/>
    </row>
    <row r="231" spans="2:2">
      <c r="B231" s="123"/>
    </row>
    <row r="232" spans="2:2">
      <c r="B232" s="123"/>
    </row>
    <row r="233" spans="2:2">
      <c r="B233" s="123"/>
    </row>
    <row r="234" spans="2:2">
      <c r="B234" s="123"/>
    </row>
    <row r="235" spans="2:2">
      <c r="B235" s="123"/>
    </row>
    <row r="236" spans="2:2">
      <c r="B236" s="123"/>
    </row>
    <row r="237" spans="2:2">
      <c r="B237" s="123"/>
    </row>
    <row r="238" spans="2:2">
      <c r="B238" s="123"/>
    </row>
  </sheetData>
  <sortState ref="A80:H124">
    <sortCondition ref="B80:B124"/>
  </sortState>
  <mergeCells count="28">
    <mergeCell ref="C121:E121"/>
    <mergeCell ref="F121:H121"/>
    <mergeCell ref="A74:B74"/>
    <mergeCell ref="A75:B75"/>
    <mergeCell ref="A76:B76"/>
    <mergeCell ref="A121:B121"/>
    <mergeCell ref="A108:B108"/>
    <mergeCell ref="A109:B109"/>
    <mergeCell ref="A110:B110"/>
    <mergeCell ref="A112:B112"/>
    <mergeCell ref="A113:B113"/>
    <mergeCell ref="A77:B77"/>
    <mergeCell ref="A79:B79"/>
    <mergeCell ref="A93:B93"/>
    <mergeCell ref="A95:B95"/>
    <mergeCell ref="A101:B101"/>
    <mergeCell ref="B2:H2"/>
    <mergeCell ref="A6:B6"/>
    <mergeCell ref="A7:B7"/>
    <mergeCell ref="A8:B8"/>
    <mergeCell ref="A24:B24"/>
    <mergeCell ref="A4:B4"/>
    <mergeCell ref="A5:B5"/>
    <mergeCell ref="A72:B72"/>
    <mergeCell ref="A73:B73"/>
    <mergeCell ref="A28:B28"/>
    <mergeCell ref="A29:B29"/>
    <mergeCell ref="A33:B33"/>
  </mergeCells>
  <printOptions horizontalCentered="1"/>
  <pageMargins left="0.59055118110236227" right="0.59055118110236227" top="0.98425196850393704" bottom="0.59055118110236227" header="0" footer="0"/>
  <pageSetup paperSize="9" scale="85" fitToHeight="0" orientation="landscape" blackAndWhite="1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184"/>
  <sheetViews>
    <sheetView topLeftCell="B1" zoomScale="67" zoomScaleNormal="67" zoomScaleSheetLayoutView="55" workbookViewId="0">
      <selection activeCell="E32" sqref="E32"/>
    </sheetView>
  </sheetViews>
  <sheetFormatPr defaultColWidth="9.109375" defaultRowHeight="18"/>
  <cols>
    <col min="1" max="1" width="80.109375" style="115" customWidth="1"/>
    <col min="2" max="2" width="12.6640625" style="180" customWidth="1"/>
    <col min="3" max="4" width="25.6640625" style="180" customWidth="1"/>
    <col min="5" max="6" width="22.88671875" style="180" customWidth="1"/>
    <col min="7" max="8" width="23.109375" style="180" customWidth="1"/>
    <col min="9" max="9" width="9.5546875" style="115" customWidth="1"/>
    <col min="10" max="10" width="9.88671875" style="115" customWidth="1"/>
    <col min="11" max="16384" width="9.109375" style="115"/>
  </cols>
  <sheetData>
    <row r="1" spans="1:8" ht="20.399999999999999">
      <c r="H1" s="76" t="s">
        <v>345</v>
      </c>
    </row>
    <row r="2" spans="1:8" ht="39" customHeight="1">
      <c r="A2" s="471" t="s">
        <v>126</v>
      </c>
      <c r="B2" s="471"/>
      <c r="C2" s="471"/>
      <c r="D2" s="471"/>
      <c r="E2" s="471"/>
      <c r="F2" s="471"/>
      <c r="G2" s="471"/>
      <c r="H2" s="471"/>
    </row>
    <row r="3" spans="1:8" ht="30" customHeight="1">
      <c r="A3" s="527" t="s">
        <v>318</v>
      </c>
      <c r="B3" s="527"/>
      <c r="C3" s="527"/>
      <c r="D3" s="527"/>
      <c r="E3" s="527"/>
      <c r="F3" s="527"/>
      <c r="G3" s="527"/>
      <c r="H3" s="527"/>
    </row>
    <row r="4" spans="1:8" ht="58.5" customHeight="1">
      <c r="A4" s="525" t="s">
        <v>153</v>
      </c>
      <c r="B4" s="469" t="s">
        <v>18</v>
      </c>
      <c r="C4" s="469" t="s">
        <v>135</v>
      </c>
      <c r="D4" s="469"/>
      <c r="E4" s="478" t="s">
        <v>427</v>
      </c>
      <c r="F4" s="478"/>
      <c r="G4" s="478"/>
      <c r="H4" s="478"/>
    </row>
    <row r="5" spans="1:8" ht="68.25" customHeight="1">
      <c r="A5" s="526"/>
      <c r="B5" s="469"/>
      <c r="C5" s="257" t="s">
        <v>432</v>
      </c>
      <c r="D5" s="257" t="s">
        <v>433</v>
      </c>
      <c r="E5" s="257" t="s">
        <v>144</v>
      </c>
      <c r="F5" s="257" t="s">
        <v>140</v>
      </c>
      <c r="G5" s="113" t="s">
        <v>150</v>
      </c>
      <c r="H5" s="113" t="s">
        <v>151</v>
      </c>
    </row>
    <row r="6" spans="1:8" ht="33.75" customHeight="1">
      <c r="A6" s="62">
        <v>1</v>
      </c>
      <c r="B6" s="257">
        <v>2</v>
      </c>
      <c r="C6" s="62">
        <v>3</v>
      </c>
      <c r="D6" s="257">
        <v>4</v>
      </c>
      <c r="E6" s="62">
        <v>5</v>
      </c>
      <c r="F6" s="257">
        <v>6</v>
      </c>
      <c r="G6" s="62">
        <v>7</v>
      </c>
      <c r="H6" s="257">
        <v>8</v>
      </c>
    </row>
    <row r="7" spans="1:8" s="24" customFormat="1" ht="68.25" customHeight="1">
      <c r="A7" s="259" t="s">
        <v>69</v>
      </c>
      <c r="B7" s="43">
        <v>4000</v>
      </c>
      <c r="C7" s="340">
        <f>SUM(C8:C13)</f>
        <v>161606.6</v>
      </c>
      <c r="D7" s="44">
        <f>SUM(D8:D13)</f>
        <v>21962</v>
      </c>
      <c r="E7" s="340">
        <f t="shared" ref="E7:F7" si="0">SUM(E8:E13)</f>
        <v>126612.70000000001</v>
      </c>
      <c r="F7" s="44">
        <f t="shared" si="0"/>
        <v>21962</v>
      </c>
      <c r="G7" s="44">
        <f>IF(F7="(    )",0,F7)-IF(E7="(    )",0,E7)</f>
        <v>-104650.70000000001</v>
      </c>
      <c r="H7" s="44">
        <f t="shared" ref="H7" si="1">IF(IF(E7="(    )",0,E7)=0,0,IF(F7="(    )",0,F7)/IF(E7="(    )",0,E7))*100</f>
        <v>17.345811281174793</v>
      </c>
    </row>
    <row r="8" spans="1:8" ht="54.75" customHeight="1">
      <c r="A8" s="277" t="s">
        <v>1</v>
      </c>
      <c r="B8" s="62" t="s">
        <v>129</v>
      </c>
      <c r="C8" s="341">
        <f>'Розшифровка до капівидатків'!C7</f>
        <v>2797.4</v>
      </c>
      <c r="D8" s="47">
        <f>'Розшифровка до капівидатків'!E7</f>
        <v>0</v>
      </c>
      <c r="E8" s="341">
        <f>'Розшифровка до капівидатків'!D7</f>
        <v>0</v>
      </c>
      <c r="F8" s="47">
        <f>'Розшифровка до капівидатків'!E7</f>
        <v>0</v>
      </c>
      <c r="G8" s="47">
        <f t="shared" ref="G8:G13" si="2">IF(F8="(    )",0,F8)-IF(E8="(    )",0,E8)</f>
        <v>0</v>
      </c>
      <c r="H8" s="47">
        <f t="shared" ref="H8:H13" si="3">IF(IF(E8="(    )",0,E8)=0,0,IF(F8="(    )",0,F8)/IF(E8="(    )",0,E8))*100</f>
        <v>0</v>
      </c>
    </row>
    <row r="9" spans="1:8" ht="54.75" customHeight="1">
      <c r="A9" s="277" t="s">
        <v>2</v>
      </c>
      <c r="B9" s="62">
        <v>4020</v>
      </c>
      <c r="C9" s="341">
        <f>'Розшифровка до капівидатків'!C9</f>
        <v>123868.40000000001</v>
      </c>
      <c r="D9" s="47">
        <f>'Розшифровка до капівидатків'!E9</f>
        <v>11839</v>
      </c>
      <c r="E9" s="341">
        <f>'Розшифровка до капівидатків'!D9</f>
        <v>33335.9</v>
      </c>
      <c r="F9" s="47">
        <f>D9</f>
        <v>11839</v>
      </c>
      <c r="G9" s="47">
        <f t="shared" si="2"/>
        <v>-21496.9</v>
      </c>
      <c r="H9" s="47">
        <f t="shared" si="3"/>
        <v>35.514265401564074</v>
      </c>
    </row>
    <row r="10" spans="1:8" ht="54.75" customHeight="1">
      <c r="A10" s="277" t="s">
        <v>28</v>
      </c>
      <c r="B10" s="62">
        <v>4030</v>
      </c>
      <c r="C10" s="341">
        <v>0</v>
      </c>
      <c r="D10" s="47">
        <v>0</v>
      </c>
      <c r="E10" s="341">
        <v>0</v>
      </c>
      <c r="F10" s="47">
        <f t="shared" ref="F10:F13" si="4">D10</f>
        <v>0</v>
      </c>
      <c r="G10" s="47">
        <f t="shared" si="2"/>
        <v>0</v>
      </c>
      <c r="H10" s="47">
        <f t="shared" si="3"/>
        <v>0</v>
      </c>
    </row>
    <row r="11" spans="1:8" ht="54.75" customHeight="1">
      <c r="A11" s="277" t="s">
        <v>3</v>
      </c>
      <c r="B11" s="62">
        <v>4040</v>
      </c>
      <c r="C11" s="341">
        <f>'Розшифровка до капівидатків'!C32</f>
        <v>9</v>
      </c>
      <c r="D11" s="47">
        <f>'Розшифровка до капівидатків'!E32</f>
        <v>5</v>
      </c>
      <c r="E11" s="341">
        <f>'Розшифровка до капівидатків'!D32</f>
        <v>20</v>
      </c>
      <c r="F11" s="47">
        <f t="shared" si="4"/>
        <v>5</v>
      </c>
      <c r="G11" s="47">
        <f t="shared" si="2"/>
        <v>-15</v>
      </c>
      <c r="H11" s="47">
        <f t="shared" si="3"/>
        <v>25</v>
      </c>
    </row>
    <row r="12" spans="1:8" ht="54.75" customHeight="1">
      <c r="A12" s="277" t="s">
        <v>60</v>
      </c>
      <c r="B12" s="62">
        <v>4050</v>
      </c>
      <c r="C12" s="341">
        <f>'Розшифровка до капівидатків'!C25</f>
        <v>34931.800000000003</v>
      </c>
      <c r="D12" s="47">
        <f>'Розшифровка до капівидатків'!E25</f>
        <v>10118</v>
      </c>
      <c r="E12" s="341">
        <f>'Розшифровка до капівидатків'!D25</f>
        <v>80678.7</v>
      </c>
      <c r="F12" s="47">
        <f t="shared" si="4"/>
        <v>10118</v>
      </c>
      <c r="G12" s="47">
        <f>IF(F12="(    )",0,F12)-IF(D12="(    )",0,D12)</f>
        <v>0</v>
      </c>
      <c r="H12" s="47">
        <f>IF(IF(D12="(    )",0,D12)=0,0,IF(F12="(    )",0,F12)/IF(D12="(    )",0,D12))*100</f>
        <v>100</v>
      </c>
    </row>
    <row r="13" spans="1:8" ht="54.75" customHeight="1">
      <c r="A13" s="277" t="s">
        <v>201</v>
      </c>
      <c r="B13" s="62">
        <v>4060</v>
      </c>
      <c r="C13" s="341">
        <f>'Розшифровка до капівидатків'!C34</f>
        <v>0</v>
      </c>
      <c r="D13" s="47">
        <f>'Розшифровка до капівидатків'!E34</f>
        <v>0</v>
      </c>
      <c r="E13" s="341">
        <f>'Розшифровка до капівидатків'!D34</f>
        <v>12578.1</v>
      </c>
      <c r="F13" s="47">
        <f t="shared" si="4"/>
        <v>0</v>
      </c>
      <c r="G13" s="47">
        <f t="shared" si="2"/>
        <v>-12578.1</v>
      </c>
      <c r="H13" s="47">
        <f t="shared" si="3"/>
        <v>0</v>
      </c>
    </row>
    <row r="14" spans="1:8" ht="21">
      <c r="A14" s="60"/>
      <c r="B14" s="60"/>
      <c r="C14" s="60"/>
      <c r="D14" s="60"/>
      <c r="E14" s="60"/>
      <c r="F14" s="60"/>
      <c r="G14" s="60"/>
      <c r="H14" s="60"/>
    </row>
    <row r="15" spans="1:8" ht="21">
      <c r="A15" s="60"/>
      <c r="B15" s="60"/>
      <c r="C15" s="60"/>
      <c r="D15" s="60"/>
      <c r="E15" s="60"/>
      <c r="F15" s="60"/>
      <c r="G15" s="60"/>
      <c r="H15" s="60"/>
    </row>
    <row r="16" spans="1:8" ht="19.5" customHeight="1">
      <c r="A16" s="63"/>
      <c r="B16" s="60"/>
      <c r="C16" s="60"/>
      <c r="D16" s="60"/>
      <c r="E16" s="60"/>
      <c r="F16" s="60"/>
      <c r="G16" s="60"/>
      <c r="H16" s="60"/>
    </row>
    <row r="17" spans="1:9" s="218" customFormat="1" ht="28.5" customHeight="1">
      <c r="A17" s="528" t="s">
        <v>674</v>
      </c>
      <c r="B17" s="528"/>
      <c r="C17" s="529" t="s">
        <v>791</v>
      </c>
      <c r="D17" s="529"/>
      <c r="E17" s="529"/>
      <c r="F17" s="530" t="s">
        <v>570</v>
      </c>
      <c r="G17" s="530"/>
      <c r="H17" s="530"/>
      <c r="I17" s="391"/>
    </row>
    <row r="18" spans="1:9" s="124" customFormat="1" ht="37.5" customHeight="1">
      <c r="A18" s="258"/>
      <c r="C18" s="452"/>
      <c r="D18" s="452"/>
      <c r="F18" s="452"/>
      <c r="G18" s="452"/>
    </row>
    <row r="19" spans="1:9">
      <c r="A19" s="123"/>
    </row>
    <row r="20" spans="1:9">
      <c r="A20" s="123"/>
    </row>
    <row r="21" spans="1:9">
      <c r="A21" s="123"/>
    </row>
    <row r="22" spans="1:9">
      <c r="A22" s="123"/>
    </row>
    <row r="23" spans="1:9">
      <c r="A23" s="123"/>
    </row>
    <row r="24" spans="1:9">
      <c r="A24" s="123"/>
    </row>
    <row r="25" spans="1:9">
      <c r="A25" s="123"/>
    </row>
    <row r="26" spans="1:9">
      <c r="A26" s="123"/>
    </row>
    <row r="27" spans="1:9">
      <c r="A27" s="123"/>
    </row>
    <row r="28" spans="1:9">
      <c r="A28" s="123"/>
    </row>
    <row r="29" spans="1:9">
      <c r="A29" s="123"/>
    </row>
    <row r="30" spans="1:9">
      <c r="A30" s="123"/>
    </row>
    <row r="31" spans="1:9">
      <c r="A31" s="123"/>
    </row>
    <row r="32" spans="1:9">
      <c r="A32" s="123"/>
    </row>
    <row r="33" spans="1:1">
      <c r="A33" s="123"/>
    </row>
    <row r="34" spans="1:1">
      <c r="A34" s="123"/>
    </row>
    <row r="35" spans="1:1">
      <c r="A35" s="123"/>
    </row>
    <row r="36" spans="1:1">
      <c r="A36" s="123"/>
    </row>
    <row r="37" spans="1:1">
      <c r="A37" s="123"/>
    </row>
    <row r="38" spans="1:1">
      <c r="A38" s="123"/>
    </row>
    <row r="39" spans="1:1">
      <c r="A39" s="123"/>
    </row>
    <row r="40" spans="1:1">
      <c r="A40" s="123"/>
    </row>
    <row r="41" spans="1:1">
      <c r="A41" s="123"/>
    </row>
    <row r="42" spans="1:1">
      <c r="A42" s="123"/>
    </row>
    <row r="43" spans="1:1">
      <c r="A43" s="123"/>
    </row>
    <row r="44" spans="1:1">
      <c r="A44" s="123"/>
    </row>
    <row r="45" spans="1:1">
      <c r="A45" s="123"/>
    </row>
    <row r="46" spans="1:1">
      <c r="A46" s="123"/>
    </row>
    <row r="47" spans="1:1">
      <c r="A47" s="123"/>
    </row>
    <row r="48" spans="1:1">
      <c r="A48" s="123"/>
    </row>
    <row r="49" spans="1:1">
      <c r="A49" s="123"/>
    </row>
    <row r="50" spans="1:1">
      <c r="A50" s="123"/>
    </row>
    <row r="51" spans="1:1">
      <c r="A51" s="123"/>
    </row>
    <row r="52" spans="1:1">
      <c r="A52" s="123"/>
    </row>
    <row r="53" spans="1:1">
      <c r="A53" s="123"/>
    </row>
    <row r="54" spans="1:1">
      <c r="A54" s="123"/>
    </row>
    <row r="55" spans="1:1">
      <c r="A55" s="123"/>
    </row>
    <row r="56" spans="1:1">
      <c r="A56" s="123"/>
    </row>
    <row r="57" spans="1:1">
      <c r="A57" s="123"/>
    </row>
    <row r="58" spans="1:1">
      <c r="A58" s="123"/>
    </row>
    <row r="59" spans="1:1">
      <c r="A59" s="123"/>
    </row>
    <row r="60" spans="1:1">
      <c r="A60" s="123"/>
    </row>
    <row r="61" spans="1:1">
      <c r="A61" s="123"/>
    </row>
    <row r="62" spans="1:1">
      <c r="A62" s="123"/>
    </row>
    <row r="63" spans="1:1">
      <c r="A63" s="123"/>
    </row>
    <row r="64" spans="1:1">
      <c r="A64" s="123"/>
    </row>
    <row r="65" spans="1:1">
      <c r="A65" s="123"/>
    </row>
    <row r="66" spans="1:1">
      <c r="A66" s="123"/>
    </row>
    <row r="67" spans="1:1">
      <c r="A67" s="123"/>
    </row>
    <row r="68" spans="1:1">
      <c r="A68" s="123"/>
    </row>
    <row r="69" spans="1:1">
      <c r="A69" s="123"/>
    </row>
    <row r="70" spans="1:1">
      <c r="A70" s="123"/>
    </row>
    <row r="71" spans="1:1">
      <c r="A71" s="123"/>
    </row>
    <row r="72" spans="1:1">
      <c r="A72" s="123"/>
    </row>
    <row r="73" spans="1:1">
      <c r="A73" s="123"/>
    </row>
    <row r="74" spans="1:1">
      <c r="A74" s="123"/>
    </row>
    <row r="75" spans="1:1">
      <c r="A75" s="123"/>
    </row>
    <row r="76" spans="1:1">
      <c r="A76" s="123"/>
    </row>
    <row r="77" spans="1:1">
      <c r="A77" s="123"/>
    </row>
    <row r="78" spans="1:1">
      <c r="A78" s="123"/>
    </row>
    <row r="79" spans="1:1">
      <c r="A79" s="123"/>
    </row>
    <row r="80" spans="1:1">
      <c r="A80" s="123"/>
    </row>
    <row r="81" spans="1:1">
      <c r="A81" s="123"/>
    </row>
    <row r="82" spans="1:1">
      <c r="A82" s="123"/>
    </row>
    <row r="83" spans="1:1">
      <c r="A83" s="123"/>
    </row>
    <row r="84" spans="1:1">
      <c r="A84" s="123"/>
    </row>
    <row r="85" spans="1:1">
      <c r="A85" s="123"/>
    </row>
    <row r="86" spans="1:1">
      <c r="A86" s="123"/>
    </row>
    <row r="87" spans="1:1">
      <c r="A87" s="123"/>
    </row>
    <row r="88" spans="1:1">
      <c r="A88" s="123"/>
    </row>
    <row r="89" spans="1:1">
      <c r="A89" s="123"/>
    </row>
    <row r="90" spans="1:1">
      <c r="A90" s="123"/>
    </row>
    <row r="91" spans="1:1">
      <c r="A91" s="123"/>
    </row>
    <row r="92" spans="1:1">
      <c r="A92" s="123"/>
    </row>
    <row r="93" spans="1:1">
      <c r="A93" s="123"/>
    </row>
    <row r="94" spans="1:1">
      <c r="A94" s="123"/>
    </row>
    <row r="95" spans="1:1">
      <c r="A95" s="123"/>
    </row>
    <row r="96" spans="1:1">
      <c r="A96" s="123"/>
    </row>
    <row r="97" spans="1:1">
      <c r="A97" s="123"/>
    </row>
    <row r="98" spans="1:1">
      <c r="A98" s="123"/>
    </row>
    <row r="99" spans="1:1">
      <c r="A99" s="123"/>
    </row>
    <row r="100" spans="1:1">
      <c r="A100" s="123"/>
    </row>
    <row r="101" spans="1:1">
      <c r="A101" s="123"/>
    </row>
    <row r="102" spans="1:1">
      <c r="A102" s="123"/>
    </row>
    <row r="103" spans="1:1">
      <c r="A103" s="123"/>
    </row>
    <row r="104" spans="1:1">
      <c r="A104" s="123"/>
    </row>
    <row r="105" spans="1:1">
      <c r="A105" s="123"/>
    </row>
    <row r="106" spans="1:1">
      <c r="A106" s="123"/>
    </row>
    <row r="107" spans="1:1">
      <c r="A107" s="123"/>
    </row>
    <row r="108" spans="1:1">
      <c r="A108" s="123"/>
    </row>
    <row r="109" spans="1:1">
      <c r="A109" s="123"/>
    </row>
    <row r="110" spans="1:1">
      <c r="A110" s="123"/>
    </row>
    <row r="111" spans="1:1">
      <c r="A111" s="123"/>
    </row>
    <row r="112" spans="1:1">
      <c r="A112" s="123"/>
    </row>
    <row r="113" spans="1:1">
      <c r="A113" s="123"/>
    </row>
    <row r="114" spans="1:1">
      <c r="A114" s="123"/>
    </row>
    <row r="115" spans="1:1">
      <c r="A115" s="123"/>
    </row>
    <row r="116" spans="1:1">
      <c r="A116" s="123"/>
    </row>
    <row r="117" spans="1:1">
      <c r="A117" s="123"/>
    </row>
    <row r="118" spans="1:1">
      <c r="A118" s="123"/>
    </row>
    <row r="119" spans="1:1">
      <c r="A119" s="123"/>
    </row>
    <row r="120" spans="1:1">
      <c r="A120" s="123"/>
    </row>
    <row r="121" spans="1:1">
      <c r="A121" s="123"/>
    </row>
    <row r="122" spans="1:1">
      <c r="A122" s="123"/>
    </row>
    <row r="123" spans="1:1">
      <c r="A123" s="123"/>
    </row>
    <row r="124" spans="1:1">
      <c r="A124" s="123"/>
    </row>
    <row r="125" spans="1:1">
      <c r="A125" s="123"/>
    </row>
    <row r="126" spans="1:1">
      <c r="A126" s="123"/>
    </row>
    <row r="127" spans="1:1">
      <c r="A127" s="123"/>
    </row>
    <row r="128" spans="1:1">
      <c r="A128" s="123"/>
    </row>
    <row r="129" spans="1:1">
      <c r="A129" s="123"/>
    </row>
    <row r="130" spans="1:1">
      <c r="A130" s="123"/>
    </row>
    <row r="131" spans="1:1">
      <c r="A131" s="123"/>
    </row>
    <row r="132" spans="1:1">
      <c r="A132" s="123"/>
    </row>
    <row r="133" spans="1:1">
      <c r="A133" s="123"/>
    </row>
    <row r="134" spans="1:1">
      <c r="A134" s="123"/>
    </row>
    <row r="135" spans="1:1">
      <c r="A135" s="123"/>
    </row>
    <row r="136" spans="1:1">
      <c r="A136" s="123"/>
    </row>
    <row r="137" spans="1:1">
      <c r="A137" s="123"/>
    </row>
    <row r="138" spans="1:1">
      <c r="A138" s="123"/>
    </row>
    <row r="139" spans="1:1">
      <c r="A139" s="123"/>
    </row>
    <row r="140" spans="1:1">
      <c r="A140" s="123"/>
    </row>
    <row r="141" spans="1:1">
      <c r="A141" s="123"/>
    </row>
    <row r="142" spans="1:1">
      <c r="A142" s="123"/>
    </row>
    <row r="143" spans="1:1">
      <c r="A143" s="123"/>
    </row>
    <row r="144" spans="1:1">
      <c r="A144" s="123"/>
    </row>
    <row r="145" spans="1:1">
      <c r="A145" s="123"/>
    </row>
    <row r="146" spans="1:1">
      <c r="A146" s="123"/>
    </row>
    <row r="147" spans="1:1">
      <c r="A147" s="123"/>
    </row>
    <row r="148" spans="1:1">
      <c r="A148" s="123"/>
    </row>
    <row r="149" spans="1:1">
      <c r="A149" s="123"/>
    </row>
    <row r="150" spans="1:1">
      <c r="A150" s="123"/>
    </row>
    <row r="151" spans="1:1">
      <c r="A151" s="123"/>
    </row>
    <row r="152" spans="1:1">
      <c r="A152" s="123"/>
    </row>
    <row r="153" spans="1:1">
      <c r="A153" s="123"/>
    </row>
    <row r="154" spans="1:1">
      <c r="A154" s="123"/>
    </row>
    <row r="155" spans="1:1">
      <c r="A155" s="123"/>
    </row>
    <row r="156" spans="1:1">
      <c r="A156" s="123"/>
    </row>
    <row r="157" spans="1:1">
      <c r="A157" s="123"/>
    </row>
    <row r="158" spans="1:1">
      <c r="A158" s="123"/>
    </row>
    <row r="159" spans="1:1">
      <c r="A159" s="123"/>
    </row>
    <row r="160" spans="1:1">
      <c r="A160" s="123"/>
    </row>
    <row r="161" spans="1:1">
      <c r="A161" s="123"/>
    </row>
    <row r="162" spans="1:1">
      <c r="A162" s="123"/>
    </row>
    <row r="163" spans="1:1">
      <c r="A163" s="123"/>
    </row>
    <row r="164" spans="1:1">
      <c r="A164" s="123"/>
    </row>
    <row r="165" spans="1:1">
      <c r="A165" s="123"/>
    </row>
    <row r="166" spans="1:1">
      <c r="A166" s="123"/>
    </row>
    <row r="167" spans="1:1">
      <c r="A167" s="123"/>
    </row>
    <row r="168" spans="1:1">
      <c r="A168" s="123"/>
    </row>
    <row r="169" spans="1:1">
      <c r="A169" s="123"/>
    </row>
    <row r="170" spans="1:1">
      <c r="A170" s="123"/>
    </row>
    <row r="171" spans="1:1">
      <c r="A171" s="123"/>
    </row>
    <row r="172" spans="1:1">
      <c r="A172" s="123"/>
    </row>
    <row r="173" spans="1:1">
      <c r="A173" s="123"/>
    </row>
    <row r="174" spans="1:1">
      <c r="A174" s="123"/>
    </row>
    <row r="175" spans="1:1">
      <c r="A175" s="123"/>
    </row>
    <row r="176" spans="1:1">
      <c r="A176" s="123"/>
    </row>
    <row r="177" spans="1:1">
      <c r="A177" s="123"/>
    </row>
    <row r="178" spans="1:1">
      <c r="A178" s="123"/>
    </row>
    <row r="179" spans="1:1">
      <c r="A179" s="123"/>
    </row>
    <row r="180" spans="1:1">
      <c r="A180" s="123"/>
    </row>
    <row r="181" spans="1:1">
      <c r="A181" s="123"/>
    </row>
    <row r="182" spans="1:1">
      <c r="A182" s="123"/>
    </row>
    <row r="183" spans="1:1">
      <c r="A183" s="123"/>
    </row>
    <row r="184" spans="1:1">
      <c r="A184" s="123"/>
    </row>
  </sheetData>
  <mergeCells count="11">
    <mergeCell ref="A4:A5"/>
    <mergeCell ref="A2:H2"/>
    <mergeCell ref="B4:B5"/>
    <mergeCell ref="A3:H3"/>
    <mergeCell ref="C18:D18"/>
    <mergeCell ref="C4:D4"/>
    <mergeCell ref="E4:H4"/>
    <mergeCell ref="F18:G18"/>
    <mergeCell ref="A17:B17"/>
    <mergeCell ref="C17:E17"/>
    <mergeCell ref="F17:H17"/>
  </mergeCells>
  <phoneticPr fontId="0" type="noConversion"/>
  <printOptions horizontalCentered="1"/>
  <pageMargins left="0.59055118110236227" right="0.59055118110236227" top="0.98425196850393704" bottom="0.59055118110236227" header="0" footer="0"/>
  <pageSetup paperSize="9" scale="57" firstPageNumber="9" orientation="landscape" blackAndWhite="1" useFirstPageNumber="1" r:id="rId1"/>
  <headerFooter alignWithMargins="0"/>
  <ignoredErrors>
    <ignoredError sqref="B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I205"/>
  <sheetViews>
    <sheetView view="pageBreakPreview" topLeftCell="A16" zoomScale="87" zoomScaleNormal="60" zoomScaleSheetLayoutView="87" workbookViewId="0">
      <selection activeCell="G8" sqref="G8"/>
    </sheetView>
  </sheetViews>
  <sheetFormatPr defaultColWidth="9.109375" defaultRowHeight="18"/>
  <cols>
    <col min="1" max="1" width="67.88671875" style="115" customWidth="1"/>
    <col min="2" max="2" width="16" style="180" customWidth="1"/>
    <col min="3" max="3" width="20.44140625" style="343" customWidth="1"/>
    <col min="4" max="4" width="20.44140625" style="348" customWidth="1"/>
    <col min="5" max="5" width="20.44140625" style="180" customWidth="1"/>
    <col min="6" max="6" width="16.44140625" style="180" customWidth="1"/>
    <col min="7" max="7" width="18.33203125" style="180" customWidth="1"/>
    <col min="8" max="8" width="26.6640625" style="115" hidden="1" customWidth="1"/>
    <col min="9" max="16384" width="9.109375" style="115"/>
  </cols>
  <sheetData>
    <row r="2" spans="1:8" ht="33.75" customHeight="1">
      <c r="A2" s="532" t="s">
        <v>402</v>
      </c>
      <c r="B2" s="532"/>
      <c r="C2" s="532"/>
      <c r="D2" s="532"/>
      <c r="E2" s="532"/>
      <c r="F2" s="532"/>
      <c r="G2" s="532"/>
    </row>
    <row r="3" spans="1:8" ht="20.399999999999999" customHeight="1">
      <c r="A3" s="260"/>
      <c r="B3" s="106"/>
      <c r="C3" s="116"/>
      <c r="D3" s="30"/>
      <c r="E3" s="260"/>
      <c r="F3" s="260"/>
      <c r="G3" s="137" t="s">
        <v>435</v>
      </c>
    </row>
    <row r="4" spans="1:8" ht="47.4" customHeight="1">
      <c r="A4" s="109" t="s">
        <v>153</v>
      </c>
      <c r="B4" s="110" t="s">
        <v>18</v>
      </c>
      <c r="C4" s="358" t="s">
        <v>428</v>
      </c>
      <c r="D4" s="344" t="s">
        <v>429</v>
      </c>
      <c r="E4" s="110" t="s">
        <v>430</v>
      </c>
      <c r="F4" s="110" t="s">
        <v>413</v>
      </c>
      <c r="G4" s="111" t="s">
        <v>431</v>
      </c>
      <c r="H4" s="385" t="s">
        <v>789</v>
      </c>
    </row>
    <row r="5" spans="1:8" ht="23.25" customHeight="1">
      <c r="A5" s="102">
        <v>1</v>
      </c>
      <c r="B5" s="161">
        <v>2</v>
      </c>
      <c r="C5" s="184">
        <v>3</v>
      </c>
      <c r="D5" s="345">
        <v>4</v>
      </c>
      <c r="E5" s="161">
        <v>5</v>
      </c>
      <c r="F5" s="161">
        <v>6</v>
      </c>
      <c r="G5" s="161">
        <v>7</v>
      </c>
      <c r="H5" s="382"/>
    </row>
    <row r="6" spans="1:8" s="158" customFormat="1" ht="39" customHeight="1">
      <c r="A6" s="268" t="s">
        <v>69</v>
      </c>
      <c r="B6" s="270"/>
      <c r="C6" s="360">
        <f>C7+C9+C25+C32+C34</f>
        <v>161606.6</v>
      </c>
      <c r="D6" s="360">
        <f>D7+D9+D25+D32+D34</f>
        <v>126612.70000000001</v>
      </c>
      <c r="E6" s="232">
        <f>E7+E9+E25+E32+E34</f>
        <v>21962</v>
      </c>
      <c r="F6" s="232">
        <f>E6-D6</f>
        <v>-104650.70000000001</v>
      </c>
      <c r="G6" s="286">
        <f>(E6/D6)*100</f>
        <v>17.345811281174793</v>
      </c>
      <c r="H6" s="383">
        <f>H17+H27+H29</f>
        <v>113615</v>
      </c>
    </row>
    <row r="7" spans="1:8" s="158" customFormat="1" ht="33" customHeight="1">
      <c r="A7" s="268" t="s">
        <v>393</v>
      </c>
      <c r="B7" s="270">
        <v>4010</v>
      </c>
      <c r="C7" s="360">
        <f>C8</f>
        <v>2797.4</v>
      </c>
      <c r="D7" s="360">
        <v>0</v>
      </c>
      <c r="E7" s="232"/>
      <c r="F7" s="232">
        <f t="shared" ref="F7:F9" si="0">E7-D7</f>
        <v>0</v>
      </c>
      <c r="G7" s="286"/>
      <c r="H7" s="383"/>
    </row>
    <row r="8" spans="1:8" s="158" customFormat="1" ht="28.2" customHeight="1">
      <c r="A8" s="186" t="s">
        <v>688</v>
      </c>
      <c r="B8" s="161"/>
      <c r="C8" s="361">
        <v>2797.4</v>
      </c>
      <c r="D8" s="361"/>
      <c r="E8" s="233"/>
      <c r="F8" s="233"/>
      <c r="G8" s="287"/>
      <c r="H8" s="383"/>
    </row>
    <row r="9" spans="1:8" s="198" customFormat="1" ht="33" customHeight="1">
      <c r="A9" s="268" t="s">
        <v>573</v>
      </c>
      <c r="B9" s="144">
        <v>4020</v>
      </c>
      <c r="C9" s="412">
        <f>SUM(C10:C24)</f>
        <v>123868.40000000001</v>
      </c>
      <c r="D9" s="412">
        <f>SUM(D10:D24)</f>
        <v>33335.9</v>
      </c>
      <c r="E9" s="295">
        <f>SUM(E10:E24)</f>
        <v>11839</v>
      </c>
      <c r="F9" s="232">
        <f t="shared" si="0"/>
        <v>-21496.9</v>
      </c>
      <c r="G9" s="286">
        <f>(E9/D9)*100</f>
        <v>35.514265401564074</v>
      </c>
      <c r="H9" s="384"/>
    </row>
    <row r="10" spans="1:8" s="198" customFormat="1" ht="20.25" customHeight="1">
      <c r="A10" s="199" t="s">
        <v>735</v>
      </c>
      <c r="B10" s="188"/>
      <c r="C10" s="413"/>
      <c r="D10" s="361"/>
      <c r="E10" s="233">
        <v>372</v>
      </c>
      <c r="F10" s="233">
        <f>E10-D10</f>
        <v>372</v>
      </c>
      <c r="G10" s="287"/>
      <c r="H10" s="384"/>
    </row>
    <row r="11" spans="1:8" s="198" customFormat="1" ht="20.25" customHeight="1">
      <c r="A11" s="186" t="s">
        <v>736</v>
      </c>
      <c r="B11" s="188"/>
      <c r="C11" s="413"/>
      <c r="D11" s="361"/>
      <c r="E11" s="233">
        <v>1513</v>
      </c>
      <c r="F11" s="233">
        <f>E11-D11</f>
        <v>1513</v>
      </c>
      <c r="G11" s="287"/>
      <c r="H11" s="384"/>
    </row>
    <row r="12" spans="1:8" s="158" customFormat="1">
      <c r="A12" s="188" t="s">
        <v>575</v>
      </c>
      <c r="B12" s="194"/>
      <c r="C12" s="361">
        <v>47</v>
      </c>
      <c r="D12" s="337"/>
      <c r="E12" s="233"/>
      <c r="F12" s="233">
        <f>E12-D12</f>
        <v>0</v>
      </c>
      <c r="G12" s="287"/>
      <c r="H12" s="383"/>
    </row>
    <row r="13" spans="1:8" s="158" customFormat="1">
      <c r="A13" s="188" t="s">
        <v>576</v>
      </c>
      <c r="B13" s="201"/>
      <c r="C13" s="414"/>
      <c r="D13" s="406"/>
      <c r="E13" s="289">
        <v>57</v>
      </c>
      <c r="F13" s="233"/>
      <c r="G13" s="287"/>
      <c r="H13" s="383"/>
    </row>
    <row r="14" spans="1:8" s="158" customFormat="1" ht="36">
      <c r="A14" s="188" t="s">
        <v>577</v>
      </c>
      <c r="B14" s="188"/>
      <c r="C14" s="414">
        <v>89753.1</v>
      </c>
      <c r="D14" s="361"/>
      <c r="E14" s="233"/>
      <c r="F14" s="233">
        <f t="shared" ref="F14:F21" si="1">E14-D14</f>
        <v>0</v>
      </c>
      <c r="G14" s="287"/>
      <c r="H14" s="383"/>
    </row>
    <row r="15" spans="1:8" s="158" customFormat="1">
      <c r="A15" s="188" t="s">
        <v>578</v>
      </c>
      <c r="B15" s="188"/>
      <c r="C15" s="414">
        <v>22</v>
      </c>
      <c r="D15" s="361"/>
      <c r="E15" s="233">
        <v>26</v>
      </c>
      <c r="F15" s="233">
        <f t="shared" si="1"/>
        <v>26</v>
      </c>
      <c r="G15" s="287"/>
      <c r="H15" s="383"/>
    </row>
    <row r="16" spans="1:8" s="158" customFormat="1">
      <c r="A16" s="188" t="s">
        <v>580</v>
      </c>
      <c r="B16" s="101"/>
      <c r="C16" s="414"/>
      <c r="D16" s="361"/>
      <c r="E16" s="233">
        <v>50</v>
      </c>
      <c r="F16" s="233">
        <f t="shared" si="1"/>
        <v>50</v>
      </c>
      <c r="G16" s="287"/>
      <c r="H16" s="383"/>
    </row>
    <row r="17" spans="1:8" s="158" customFormat="1" ht="40.950000000000003" customHeight="1">
      <c r="A17" s="183" t="s">
        <v>700</v>
      </c>
      <c r="B17" s="188"/>
      <c r="C17" s="414"/>
      <c r="D17" s="361">
        <v>32935.9</v>
      </c>
      <c r="E17" s="362"/>
      <c r="F17" s="233">
        <f t="shared" si="1"/>
        <v>-32935.9</v>
      </c>
      <c r="G17" s="287"/>
      <c r="H17" s="383">
        <v>34336</v>
      </c>
    </row>
    <row r="18" spans="1:8" s="158" customFormat="1">
      <c r="A18" s="188" t="s">
        <v>581</v>
      </c>
      <c r="B18" s="188"/>
      <c r="C18" s="414"/>
      <c r="D18" s="361"/>
      <c r="E18" s="233">
        <v>26</v>
      </c>
      <c r="F18" s="233">
        <f t="shared" si="1"/>
        <v>26</v>
      </c>
      <c r="G18" s="287"/>
      <c r="H18" s="383"/>
    </row>
    <row r="19" spans="1:8" s="158" customFormat="1" ht="23.4" customHeight="1">
      <c r="A19" s="188" t="s">
        <v>689</v>
      </c>
      <c r="B19" s="188"/>
      <c r="C19" s="414">
        <v>139</v>
      </c>
      <c r="D19" s="361"/>
      <c r="E19" s="233"/>
      <c r="F19" s="233">
        <f t="shared" si="1"/>
        <v>0</v>
      </c>
      <c r="G19" s="287"/>
      <c r="H19" s="383"/>
    </row>
    <row r="20" spans="1:8" s="158" customFormat="1">
      <c r="A20" s="188" t="s">
        <v>740</v>
      </c>
      <c r="B20" s="144"/>
      <c r="C20" s="414"/>
      <c r="D20" s="361"/>
      <c r="E20" s="233">
        <v>68</v>
      </c>
      <c r="F20" s="233">
        <f t="shared" si="1"/>
        <v>68</v>
      </c>
      <c r="G20" s="287"/>
      <c r="H20" s="383"/>
    </row>
    <row r="21" spans="1:8" s="158" customFormat="1" ht="23.4" customHeight="1">
      <c r="A21" s="285" t="s">
        <v>584</v>
      </c>
      <c r="B21" s="200"/>
      <c r="C21" s="414"/>
      <c r="D21" s="361">
        <v>400</v>
      </c>
      <c r="E21" s="233">
        <v>99</v>
      </c>
      <c r="F21" s="233">
        <f t="shared" si="1"/>
        <v>-301</v>
      </c>
      <c r="G21" s="287"/>
      <c r="H21" s="383"/>
    </row>
    <row r="22" spans="1:8" s="158" customFormat="1">
      <c r="A22" s="188" t="s">
        <v>690</v>
      </c>
      <c r="B22" s="188"/>
      <c r="C22" s="414">
        <v>97.8</v>
      </c>
      <c r="D22" s="361"/>
      <c r="E22" s="233"/>
      <c r="F22" s="233"/>
      <c r="G22" s="287"/>
      <c r="H22" s="383"/>
    </row>
    <row r="23" spans="1:8" s="158" customFormat="1">
      <c r="A23" s="188" t="s">
        <v>691</v>
      </c>
      <c r="B23" s="188"/>
      <c r="C23" s="414">
        <v>1798</v>
      </c>
      <c r="D23" s="361"/>
      <c r="E23" s="233"/>
      <c r="F23" s="233"/>
      <c r="G23" s="287"/>
      <c r="H23" s="383"/>
    </row>
    <row r="24" spans="1:8" s="158" customFormat="1" ht="19.95" customHeight="1">
      <c r="A24" s="188" t="s">
        <v>585</v>
      </c>
      <c r="B24" s="188"/>
      <c r="C24" s="414">
        <v>32011.5</v>
      </c>
      <c r="D24" s="361"/>
      <c r="E24" s="233">
        <v>9628</v>
      </c>
      <c r="F24" s="233">
        <f>E24-D24</f>
        <v>9628</v>
      </c>
      <c r="G24" s="287"/>
      <c r="H24" s="383"/>
    </row>
    <row r="25" spans="1:8" s="158" customFormat="1" ht="52.2">
      <c r="A25" s="268" t="s">
        <v>586</v>
      </c>
      <c r="B25" s="144">
        <v>4050</v>
      </c>
      <c r="C25" s="415">
        <f>SUM(C26:C31)</f>
        <v>34931.800000000003</v>
      </c>
      <c r="D25" s="415">
        <f>SUM(D26:D31)</f>
        <v>80678.7</v>
      </c>
      <c r="E25" s="290">
        <f>SUM(E26:E31)</f>
        <v>10118</v>
      </c>
      <c r="F25" s="233">
        <f t="shared" ref="F25:F34" si="2">E25-D25</f>
        <v>-70560.7</v>
      </c>
      <c r="G25" s="287">
        <f t="shared" ref="G25:G33" si="3">(E25/D25)*100</f>
        <v>12.541104405499842</v>
      </c>
      <c r="H25" s="383"/>
    </row>
    <row r="26" spans="1:8" s="198" customFormat="1" ht="24.6" customHeight="1">
      <c r="A26" s="202" t="s">
        <v>701</v>
      </c>
      <c r="B26" s="101"/>
      <c r="C26" s="414"/>
      <c r="D26" s="361">
        <v>78678.7</v>
      </c>
      <c r="E26" s="233"/>
      <c r="F26" s="233">
        <f>E26-D26</f>
        <v>-78678.7</v>
      </c>
      <c r="G26" s="287">
        <f>(E26/D26)*100</f>
        <v>0</v>
      </c>
      <c r="H26" s="383"/>
    </row>
    <row r="27" spans="1:8" s="198" customFormat="1" ht="38.4" customHeight="1">
      <c r="A27" s="186" t="s">
        <v>587</v>
      </c>
      <c r="B27" s="101"/>
      <c r="C27" s="414">
        <v>33070.800000000003</v>
      </c>
      <c r="D27" s="233"/>
      <c r="E27" s="233">
        <v>9056</v>
      </c>
      <c r="F27" s="233">
        <f t="shared" ref="F27:F31" si="4">E27-D27</f>
        <v>9056</v>
      </c>
      <c r="G27" s="287"/>
      <c r="H27" s="383">
        <v>77279</v>
      </c>
    </row>
    <row r="28" spans="1:8" s="198" customFormat="1" ht="28.2" customHeight="1">
      <c r="A28" s="199" t="s">
        <v>574</v>
      </c>
      <c r="B28" s="101"/>
      <c r="C28" s="414"/>
      <c r="D28" s="233"/>
      <c r="E28" s="233">
        <v>295</v>
      </c>
      <c r="F28" s="233">
        <f t="shared" si="4"/>
        <v>295</v>
      </c>
      <c r="G28" s="287"/>
      <c r="H28" s="383"/>
    </row>
    <row r="29" spans="1:8" s="198" customFormat="1" ht="37.200000000000003" customHeight="1">
      <c r="A29" s="186" t="s">
        <v>579</v>
      </c>
      <c r="B29" s="101"/>
      <c r="C29" s="414"/>
      <c r="D29" s="361">
        <v>2000</v>
      </c>
      <c r="E29" s="233">
        <v>767</v>
      </c>
      <c r="F29" s="233">
        <f t="shared" si="4"/>
        <v>-1233</v>
      </c>
      <c r="G29" s="287">
        <f t="shared" ref="G29" si="5">(E29/D29)*100</f>
        <v>38.35</v>
      </c>
      <c r="H29" s="383">
        <v>2000</v>
      </c>
    </row>
    <row r="30" spans="1:8" s="198" customFormat="1" ht="32.4" customHeight="1">
      <c r="A30" s="186" t="s">
        <v>582</v>
      </c>
      <c r="B30" s="101"/>
      <c r="C30" s="414">
        <v>47</v>
      </c>
      <c r="D30" s="361"/>
      <c r="E30" s="233"/>
      <c r="F30" s="233">
        <f t="shared" si="4"/>
        <v>0</v>
      </c>
      <c r="G30" s="287"/>
      <c r="H30" s="383"/>
    </row>
    <row r="31" spans="1:8" s="198" customFormat="1" ht="29.4" customHeight="1">
      <c r="A31" s="186" t="s">
        <v>692</v>
      </c>
      <c r="B31" s="101"/>
      <c r="C31" s="414">
        <v>1814</v>
      </c>
      <c r="D31" s="361"/>
      <c r="E31" s="233"/>
      <c r="F31" s="233">
        <f t="shared" si="4"/>
        <v>0</v>
      </c>
      <c r="G31" s="287"/>
      <c r="H31" s="383"/>
    </row>
    <row r="32" spans="1:8" s="158" customFormat="1" ht="34.799999999999997">
      <c r="A32" s="268" t="s">
        <v>394</v>
      </c>
      <c r="B32" s="144">
        <v>4040</v>
      </c>
      <c r="C32" s="415">
        <f>C33</f>
        <v>9</v>
      </c>
      <c r="D32" s="415">
        <f t="shared" ref="D32:E32" si="6">D33</f>
        <v>20</v>
      </c>
      <c r="E32" s="290">
        <f t="shared" si="6"/>
        <v>5</v>
      </c>
      <c r="F32" s="233">
        <f t="shared" si="2"/>
        <v>-15</v>
      </c>
      <c r="G32" s="287">
        <f t="shared" si="3"/>
        <v>25</v>
      </c>
      <c r="H32" s="383"/>
    </row>
    <row r="33" spans="1:9" s="158" customFormat="1" ht="22.95" customHeight="1">
      <c r="A33" s="186" t="s">
        <v>588</v>
      </c>
      <c r="B33" s="101"/>
      <c r="C33" s="414">
        <v>9</v>
      </c>
      <c r="D33" s="361">
        <v>20</v>
      </c>
      <c r="E33" s="233">
        <v>5</v>
      </c>
      <c r="F33" s="233">
        <f t="shared" si="2"/>
        <v>-15</v>
      </c>
      <c r="G33" s="287">
        <f t="shared" si="3"/>
        <v>25</v>
      </c>
      <c r="H33" s="383"/>
    </row>
    <row r="34" spans="1:9" s="158" customFormat="1">
      <c r="A34" s="268" t="s">
        <v>436</v>
      </c>
      <c r="B34" s="144">
        <v>4060</v>
      </c>
      <c r="C34" s="415">
        <f>SUM(C35:C40)</f>
        <v>0</v>
      </c>
      <c r="D34" s="415">
        <f>SUM(D35:D40)</f>
        <v>12578.1</v>
      </c>
      <c r="E34" s="290">
        <f>SUM(E35:E40)</f>
        <v>0</v>
      </c>
      <c r="F34" s="233">
        <f t="shared" si="2"/>
        <v>-12578.1</v>
      </c>
      <c r="G34" s="287"/>
      <c r="H34" s="383"/>
    </row>
    <row r="35" spans="1:9" s="158" customFormat="1" ht="36">
      <c r="A35" s="186" t="s">
        <v>589</v>
      </c>
      <c r="B35" s="101"/>
      <c r="C35" s="289"/>
      <c r="D35" s="233">
        <v>1102</v>
      </c>
      <c r="E35" s="233"/>
      <c r="F35" s="233">
        <f t="shared" ref="F35:F40" si="7">E35-D35</f>
        <v>-1102</v>
      </c>
      <c r="G35" s="287">
        <f>(E35/D35)*100</f>
        <v>0</v>
      </c>
      <c r="H35" s="383"/>
    </row>
    <row r="36" spans="1:9" s="158" customFormat="1" ht="36">
      <c r="A36" s="186" t="s">
        <v>590</v>
      </c>
      <c r="B36" s="101"/>
      <c r="C36" s="289"/>
      <c r="D36" s="233">
        <v>1497.9</v>
      </c>
      <c r="E36" s="233"/>
      <c r="F36" s="233">
        <f t="shared" si="7"/>
        <v>-1497.9</v>
      </c>
      <c r="G36" s="287"/>
      <c r="H36" s="383"/>
    </row>
    <row r="37" spans="1:9" s="158" customFormat="1" ht="36">
      <c r="A37" s="186" t="s">
        <v>591</v>
      </c>
      <c r="B37" s="101"/>
      <c r="C37" s="289"/>
      <c r="D37" s="233">
        <v>1716</v>
      </c>
      <c r="E37" s="233"/>
      <c r="F37" s="233">
        <f t="shared" si="7"/>
        <v>-1716</v>
      </c>
      <c r="G37" s="287">
        <f>(E37/D37)*100</f>
        <v>0</v>
      </c>
      <c r="H37" s="383"/>
    </row>
    <row r="38" spans="1:9" s="158" customFormat="1" ht="36">
      <c r="A38" s="186" t="s">
        <v>592</v>
      </c>
      <c r="B38" s="101"/>
      <c r="C38" s="289"/>
      <c r="D38" s="233">
        <v>6055</v>
      </c>
      <c r="E38" s="233"/>
      <c r="F38" s="233">
        <f t="shared" si="7"/>
        <v>-6055</v>
      </c>
      <c r="G38" s="287">
        <f>(E38/D38)*100</f>
        <v>0</v>
      </c>
      <c r="H38" s="383"/>
    </row>
    <row r="39" spans="1:9" s="158" customFormat="1" ht="54">
      <c r="A39" s="186" t="s">
        <v>593</v>
      </c>
      <c r="B39" s="101"/>
      <c r="C39" s="289"/>
      <c r="D39" s="233">
        <v>1062.2</v>
      </c>
      <c r="E39" s="233"/>
      <c r="F39" s="233">
        <f t="shared" si="7"/>
        <v>-1062.2</v>
      </c>
      <c r="G39" s="287">
        <f>(E39/D39)*100</f>
        <v>0</v>
      </c>
      <c r="H39" s="383"/>
    </row>
    <row r="40" spans="1:9" s="158" customFormat="1" ht="54">
      <c r="A40" s="186" t="s">
        <v>594</v>
      </c>
      <c r="B40" s="101"/>
      <c r="C40" s="289"/>
      <c r="D40" s="233">
        <v>1145</v>
      </c>
      <c r="E40" s="233"/>
      <c r="F40" s="233">
        <f t="shared" si="7"/>
        <v>-1145</v>
      </c>
      <c r="G40" s="287">
        <f>(E40/D40)*100</f>
        <v>0</v>
      </c>
      <c r="H40" s="383"/>
    </row>
    <row r="41" spans="1:9" s="158" customFormat="1" ht="31.8" customHeight="1">
      <c r="A41" s="115"/>
      <c r="B41" s="115"/>
      <c r="C41" s="359"/>
      <c r="D41" s="346"/>
      <c r="E41" s="156"/>
      <c r="F41" s="203"/>
      <c r="G41" s="203"/>
    </row>
    <row r="42" spans="1:9" s="158" customFormat="1">
      <c r="A42" s="5"/>
      <c r="B42" s="180"/>
      <c r="C42" s="359"/>
      <c r="D42" s="346"/>
      <c r="E42" s="156"/>
      <c r="F42" s="203"/>
      <c r="G42" s="203"/>
    </row>
    <row r="43" spans="1:9" s="60" customFormat="1" ht="27.6" customHeight="1">
      <c r="A43" s="465" t="s">
        <v>569</v>
      </c>
      <c r="B43" s="465"/>
      <c r="C43" s="533" t="s">
        <v>423</v>
      </c>
      <c r="D43" s="533"/>
      <c r="E43" s="533"/>
      <c r="F43" s="531" t="s">
        <v>570</v>
      </c>
      <c r="G43" s="531"/>
      <c r="H43" s="196"/>
      <c r="I43" s="63"/>
    </row>
    <row r="44" spans="1:9" s="158" customFormat="1">
      <c r="A44" s="123"/>
      <c r="B44" s="180"/>
      <c r="C44" s="359"/>
      <c r="D44" s="347"/>
      <c r="E44" s="157"/>
      <c r="F44" s="157"/>
      <c r="G44" s="157"/>
    </row>
    <row r="45" spans="1:9">
      <c r="A45" s="123"/>
    </row>
    <row r="46" spans="1:9">
      <c r="A46" s="123"/>
    </row>
    <row r="47" spans="1:9">
      <c r="A47" s="123"/>
    </row>
    <row r="48" spans="1:9">
      <c r="A48" s="123"/>
    </row>
    <row r="49" spans="1:1">
      <c r="A49" s="123"/>
    </row>
    <row r="50" spans="1:1">
      <c r="A50" s="123"/>
    </row>
    <row r="51" spans="1:1">
      <c r="A51" s="123"/>
    </row>
    <row r="52" spans="1:1">
      <c r="A52" s="123"/>
    </row>
    <row r="53" spans="1:1">
      <c r="A53" s="123"/>
    </row>
    <row r="54" spans="1:1">
      <c r="A54" s="123"/>
    </row>
    <row r="55" spans="1:1">
      <c r="A55" s="123"/>
    </row>
    <row r="56" spans="1:1">
      <c r="A56" s="123"/>
    </row>
    <row r="57" spans="1:1">
      <c r="A57" s="123"/>
    </row>
    <row r="58" spans="1:1">
      <c r="A58" s="123"/>
    </row>
    <row r="59" spans="1:1">
      <c r="A59" s="123"/>
    </row>
    <row r="60" spans="1:1">
      <c r="A60" s="123"/>
    </row>
    <row r="61" spans="1:1">
      <c r="A61" s="123"/>
    </row>
    <row r="62" spans="1:1">
      <c r="A62" s="123"/>
    </row>
    <row r="63" spans="1:1">
      <c r="A63" s="123"/>
    </row>
    <row r="64" spans="1:1">
      <c r="A64" s="123"/>
    </row>
    <row r="65" spans="1:1">
      <c r="A65" s="123"/>
    </row>
    <row r="66" spans="1:1">
      <c r="A66" s="123"/>
    </row>
    <row r="67" spans="1:1">
      <c r="A67" s="123"/>
    </row>
    <row r="68" spans="1:1">
      <c r="A68" s="123"/>
    </row>
    <row r="69" spans="1:1">
      <c r="A69" s="123"/>
    </row>
    <row r="70" spans="1:1">
      <c r="A70" s="123"/>
    </row>
    <row r="71" spans="1:1">
      <c r="A71" s="123"/>
    </row>
    <row r="72" spans="1:1">
      <c r="A72" s="123"/>
    </row>
    <row r="73" spans="1:1">
      <c r="A73" s="123"/>
    </row>
    <row r="74" spans="1:1">
      <c r="A74" s="123"/>
    </row>
    <row r="75" spans="1:1">
      <c r="A75" s="123"/>
    </row>
    <row r="76" spans="1:1">
      <c r="A76" s="123"/>
    </row>
    <row r="77" spans="1:1">
      <c r="A77" s="123"/>
    </row>
    <row r="78" spans="1:1">
      <c r="A78" s="123"/>
    </row>
    <row r="79" spans="1:1">
      <c r="A79" s="123"/>
    </row>
    <row r="80" spans="1:1">
      <c r="A80" s="123"/>
    </row>
    <row r="81" spans="1:1">
      <c r="A81" s="123"/>
    </row>
    <row r="82" spans="1:1">
      <c r="A82" s="123"/>
    </row>
    <row r="83" spans="1:1">
      <c r="A83" s="123"/>
    </row>
    <row r="84" spans="1:1">
      <c r="A84" s="123"/>
    </row>
    <row r="85" spans="1:1">
      <c r="A85" s="123"/>
    </row>
    <row r="86" spans="1:1">
      <c r="A86" s="123"/>
    </row>
    <row r="87" spans="1:1">
      <c r="A87" s="123"/>
    </row>
    <row r="88" spans="1:1">
      <c r="A88" s="123"/>
    </row>
    <row r="89" spans="1:1">
      <c r="A89" s="123"/>
    </row>
    <row r="90" spans="1:1">
      <c r="A90" s="123"/>
    </row>
    <row r="91" spans="1:1">
      <c r="A91" s="123"/>
    </row>
    <row r="92" spans="1:1">
      <c r="A92" s="123"/>
    </row>
    <row r="93" spans="1:1">
      <c r="A93" s="123"/>
    </row>
    <row r="94" spans="1:1">
      <c r="A94" s="123"/>
    </row>
    <row r="95" spans="1:1">
      <c r="A95" s="123"/>
    </row>
    <row r="96" spans="1:1">
      <c r="A96" s="123"/>
    </row>
    <row r="97" spans="1:1">
      <c r="A97" s="123"/>
    </row>
    <row r="98" spans="1:1">
      <c r="A98" s="123"/>
    </row>
    <row r="99" spans="1:1">
      <c r="A99" s="123"/>
    </row>
    <row r="100" spans="1:1">
      <c r="A100" s="123"/>
    </row>
    <row r="101" spans="1:1">
      <c r="A101" s="123"/>
    </row>
    <row r="102" spans="1:1">
      <c r="A102" s="123"/>
    </row>
    <row r="103" spans="1:1">
      <c r="A103" s="123"/>
    </row>
    <row r="104" spans="1:1">
      <c r="A104" s="123"/>
    </row>
    <row r="105" spans="1:1">
      <c r="A105" s="123"/>
    </row>
    <row r="106" spans="1:1">
      <c r="A106" s="123"/>
    </row>
    <row r="107" spans="1:1">
      <c r="A107" s="123"/>
    </row>
    <row r="108" spans="1:1">
      <c r="A108" s="123"/>
    </row>
    <row r="109" spans="1:1">
      <c r="A109" s="123"/>
    </row>
    <row r="110" spans="1:1">
      <c r="A110" s="123"/>
    </row>
    <row r="111" spans="1:1">
      <c r="A111" s="123"/>
    </row>
    <row r="112" spans="1:1">
      <c r="A112" s="123"/>
    </row>
    <row r="113" spans="1:1">
      <c r="A113" s="123"/>
    </row>
    <row r="114" spans="1:1">
      <c r="A114" s="123"/>
    </row>
    <row r="115" spans="1:1">
      <c r="A115" s="123"/>
    </row>
    <row r="116" spans="1:1">
      <c r="A116" s="123"/>
    </row>
    <row r="117" spans="1:1">
      <c r="A117" s="123"/>
    </row>
    <row r="118" spans="1:1">
      <c r="A118" s="123"/>
    </row>
    <row r="119" spans="1:1">
      <c r="A119" s="123"/>
    </row>
    <row r="120" spans="1:1">
      <c r="A120" s="123"/>
    </row>
    <row r="121" spans="1:1">
      <c r="A121" s="123"/>
    </row>
    <row r="122" spans="1:1">
      <c r="A122" s="123"/>
    </row>
    <row r="123" spans="1:1">
      <c r="A123" s="123"/>
    </row>
    <row r="124" spans="1:1">
      <c r="A124" s="123"/>
    </row>
    <row r="125" spans="1:1">
      <c r="A125" s="123"/>
    </row>
    <row r="126" spans="1:1">
      <c r="A126" s="123"/>
    </row>
    <row r="127" spans="1:1">
      <c r="A127" s="123"/>
    </row>
    <row r="128" spans="1:1">
      <c r="A128" s="123"/>
    </row>
    <row r="129" spans="1:1">
      <c r="A129" s="123"/>
    </row>
    <row r="130" spans="1:1">
      <c r="A130" s="123"/>
    </row>
    <row r="131" spans="1:1">
      <c r="A131" s="123"/>
    </row>
    <row r="132" spans="1:1">
      <c r="A132" s="123"/>
    </row>
    <row r="133" spans="1:1">
      <c r="A133" s="123"/>
    </row>
    <row r="134" spans="1:1">
      <c r="A134" s="123"/>
    </row>
    <row r="135" spans="1:1">
      <c r="A135" s="123"/>
    </row>
    <row r="136" spans="1:1">
      <c r="A136" s="123"/>
    </row>
    <row r="137" spans="1:1">
      <c r="A137" s="123"/>
    </row>
    <row r="138" spans="1:1">
      <c r="A138" s="123"/>
    </row>
    <row r="139" spans="1:1">
      <c r="A139" s="123"/>
    </row>
    <row r="140" spans="1:1">
      <c r="A140" s="123"/>
    </row>
    <row r="141" spans="1:1">
      <c r="A141" s="123"/>
    </row>
    <row r="142" spans="1:1">
      <c r="A142" s="123"/>
    </row>
    <row r="143" spans="1:1">
      <c r="A143" s="123"/>
    </row>
    <row r="144" spans="1:1">
      <c r="A144" s="123"/>
    </row>
    <row r="145" spans="1:1">
      <c r="A145" s="123"/>
    </row>
    <row r="146" spans="1:1">
      <c r="A146" s="123"/>
    </row>
    <row r="147" spans="1:1">
      <c r="A147" s="123"/>
    </row>
    <row r="148" spans="1:1">
      <c r="A148" s="123"/>
    </row>
    <row r="149" spans="1:1">
      <c r="A149" s="123"/>
    </row>
    <row r="150" spans="1:1">
      <c r="A150" s="123"/>
    </row>
    <row r="151" spans="1:1">
      <c r="A151" s="123"/>
    </row>
    <row r="152" spans="1:1">
      <c r="A152" s="123"/>
    </row>
    <row r="153" spans="1:1">
      <c r="A153" s="123"/>
    </row>
    <row r="154" spans="1:1">
      <c r="A154" s="123"/>
    </row>
    <row r="155" spans="1:1">
      <c r="A155" s="123"/>
    </row>
    <row r="156" spans="1:1">
      <c r="A156" s="123"/>
    </row>
    <row r="157" spans="1:1">
      <c r="A157" s="123"/>
    </row>
    <row r="158" spans="1:1">
      <c r="A158" s="123"/>
    </row>
    <row r="159" spans="1:1">
      <c r="A159" s="123"/>
    </row>
    <row r="160" spans="1:1">
      <c r="A160" s="123"/>
    </row>
    <row r="161" spans="1:1">
      <c r="A161" s="123"/>
    </row>
    <row r="162" spans="1:1">
      <c r="A162" s="123"/>
    </row>
    <row r="163" spans="1:1">
      <c r="A163" s="123"/>
    </row>
    <row r="164" spans="1:1">
      <c r="A164" s="123"/>
    </row>
    <row r="165" spans="1:1">
      <c r="A165" s="123"/>
    </row>
    <row r="166" spans="1:1">
      <c r="A166" s="123"/>
    </row>
    <row r="167" spans="1:1">
      <c r="A167" s="123"/>
    </row>
    <row r="168" spans="1:1">
      <c r="A168" s="123"/>
    </row>
    <row r="169" spans="1:1">
      <c r="A169" s="123"/>
    </row>
    <row r="170" spans="1:1">
      <c r="A170" s="123"/>
    </row>
    <row r="171" spans="1:1">
      <c r="A171" s="123"/>
    </row>
    <row r="172" spans="1:1">
      <c r="A172" s="123"/>
    </row>
    <row r="173" spans="1:1">
      <c r="A173" s="123"/>
    </row>
    <row r="174" spans="1:1">
      <c r="A174" s="123"/>
    </row>
    <row r="175" spans="1:1">
      <c r="A175" s="123"/>
    </row>
    <row r="176" spans="1:1">
      <c r="A176" s="123"/>
    </row>
    <row r="177" spans="1:1">
      <c r="A177" s="123"/>
    </row>
    <row r="178" spans="1:1">
      <c r="A178" s="123"/>
    </row>
    <row r="179" spans="1:1">
      <c r="A179" s="123"/>
    </row>
    <row r="180" spans="1:1">
      <c r="A180" s="123"/>
    </row>
    <row r="181" spans="1:1">
      <c r="A181" s="123"/>
    </row>
    <row r="182" spans="1:1">
      <c r="A182" s="123"/>
    </row>
    <row r="183" spans="1:1">
      <c r="A183" s="123"/>
    </row>
    <row r="184" spans="1:1">
      <c r="A184" s="123"/>
    </row>
    <row r="185" spans="1:1">
      <c r="A185" s="123"/>
    </row>
    <row r="186" spans="1:1">
      <c r="A186" s="123"/>
    </row>
    <row r="187" spans="1:1">
      <c r="A187" s="123"/>
    </row>
    <row r="188" spans="1:1">
      <c r="A188" s="123"/>
    </row>
    <row r="189" spans="1:1">
      <c r="A189" s="123"/>
    </row>
    <row r="190" spans="1:1">
      <c r="A190" s="123"/>
    </row>
    <row r="191" spans="1:1">
      <c r="A191" s="123"/>
    </row>
    <row r="192" spans="1:1">
      <c r="A192" s="123"/>
    </row>
    <row r="193" spans="1:1">
      <c r="A193" s="123"/>
    </row>
    <row r="194" spans="1:1">
      <c r="A194" s="123"/>
    </row>
    <row r="195" spans="1:1">
      <c r="A195" s="123"/>
    </row>
    <row r="196" spans="1:1">
      <c r="A196" s="123"/>
    </row>
    <row r="197" spans="1:1">
      <c r="A197" s="123"/>
    </row>
    <row r="198" spans="1:1">
      <c r="A198" s="123"/>
    </row>
    <row r="199" spans="1:1">
      <c r="A199" s="123"/>
    </row>
    <row r="200" spans="1:1">
      <c r="A200" s="123"/>
    </row>
    <row r="201" spans="1:1">
      <c r="A201" s="123"/>
    </row>
    <row r="202" spans="1:1">
      <c r="A202" s="123"/>
    </row>
    <row r="203" spans="1:1">
      <c r="A203" s="123"/>
    </row>
    <row r="204" spans="1:1">
      <c r="A204" s="123"/>
    </row>
    <row r="205" spans="1:1">
      <c r="A205" s="123"/>
    </row>
  </sheetData>
  <sortState ref="A10:I25">
    <sortCondition ref="A10:A25"/>
  </sortState>
  <mergeCells count="4">
    <mergeCell ref="A43:B43"/>
    <mergeCell ref="F43:G43"/>
    <mergeCell ref="A2:G2"/>
    <mergeCell ref="C43:E43"/>
  </mergeCells>
  <printOptions horizontalCentered="1"/>
  <pageMargins left="0.59055118110236215" right="0.59055118110236215" top="0.98425196850393704" bottom="0.59055118110236215" header="0" footer="0"/>
  <pageSetup paperSize="9" scale="76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21</vt:i4>
      </vt:variant>
    </vt:vector>
  </HeadingPairs>
  <TitlesOfParts>
    <vt:vector size="35" baseType="lpstr">
      <vt:lpstr>Аналіз</vt:lpstr>
      <vt:lpstr>Осн. фін. пок.</vt:lpstr>
      <vt:lpstr>I. Фін результат</vt:lpstr>
      <vt:lpstr>Розшифровка фінрезультати</vt:lpstr>
      <vt:lpstr>ІІ. Розр. з бюджетом</vt:lpstr>
      <vt:lpstr>ІІІ. Рух грош. коштів</vt:lpstr>
      <vt:lpstr>Розшифровка до Руху</vt:lpstr>
      <vt:lpstr>IV. Кап. інвестиції</vt:lpstr>
      <vt:lpstr>Розшифровка до капівидатків</vt:lpstr>
      <vt:lpstr> V. Коефіцієнти</vt:lpstr>
      <vt:lpstr>6.1. Інша інфо_1</vt:lpstr>
      <vt:lpstr>6.2. Інша інфо_2</vt:lpstr>
      <vt:lpstr>VII Статутн. капіт</vt:lpstr>
      <vt:lpstr>Розшифровка до Статутного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'Розшифровка до капівидатків'!Заголовки_для_печати</vt:lpstr>
      <vt:lpstr>'Розшифровка до Руху'!Заголовки_для_печати</vt:lpstr>
      <vt:lpstr>'Розшифровка фінрезультати'!Заголовки_для_печати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капівидатків'!Область_печати</vt:lpstr>
      <vt:lpstr>'Розшифровка до Руху'!Область_печати</vt:lpstr>
      <vt:lpstr>'Розшифровка до Статутного'!Область_печати</vt:lpstr>
      <vt:lpstr>'Розшифровка фінрезультати'!Область_печати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Драчук Ира</cp:lastModifiedBy>
  <cp:lastPrinted>2025-01-31T06:57:43Z</cp:lastPrinted>
  <dcterms:created xsi:type="dcterms:W3CDTF">2003-03-13T16:00:22Z</dcterms:created>
  <dcterms:modified xsi:type="dcterms:W3CDTF">2025-01-31T07:00:47Z</dcterms:modified>
</cp:coreProperties>
</file>